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H\Desktop\"/>
    </mc:Choice>
  </mc:AlternateContent>
  <xr:revisionPtr revIDLastSave="0" documentId="13_ncr:1_{5C8CC9F0-49C8-4156-9469-38AF10E4E107}" xr6:coauthVersionLast="45" xr6:coauthVersionMax="45" xr10:uidLastSave="{00000000-0000-0000-0000-000000000000}"/>
  <bookViews>
    <workbookView xWindow="0" yWindow="430" windowWidth="18890" windowHeight="9770" xr2:uid="{00000000-000D-0000-FFFF-FFFF00000000}"/>
  </bookViews>
  <sheets>
    <sheet name="Assumptions" sheetId="4" r:id="rId1"/>
    <sheet name="Volume" sheetId="3" r:id="rId2"/>
    <sheet name="Revenue" sheetId="6" r:id="rId3"/>
    <sheet name="Expenses" sheetId="7" r:id="rId4"/>
    <sheet name="P&amp;L" sheetId="9" r:id="rId5"/>
    <sheet name="Metrics" sheetId="10" r:id="rId6"/>
    <sheet name="Staff" sheetId="11" r:id="rId7"/>
    <sheet name="Startup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1" l="1"/>
  <c r="H30" i="11" s="1"/>
  <c r="I29" i="11"/>
  <c r="H29" i="11" s="1"/>
  <c r="I28" i="11"/>
  <c r="H28" i="11" s="1"/>
  <c r="I26" i="11"/>
  <c r="H26" i="11" s="1"/>
  <c r="I25" i="11"/>
  <c r="H25" i="11" s="1"/>
  <c r="I24" i="11"/>
  <c r="H24" i="11" s="1"/>
  <c r="I22" i="11"/>
  <c r="H22" i="11" s="1"/>
  <c r="I21" i="11"/>
  <c r="H21" i="11" s="1"/>
  <c r="I20" i="11"/>
  <c r="H20" i="11" s="1"/>
  <c r="I13" i="11"/>
  <c r="H13" i="11" s="1"/>
  <c r="I12" i="11"/>
  <c r="H12" i="11" s="1"/>
  <c r="I11" i="11"/>
  <c r="H11" i="11"/>
  <c r="I9" i="11"/>
  <c r="H9" i="11" s="1"/>
  <c r="I8" i="11"/>
  <c r="H8" i="11"/>
  <c r="I7" i="11"/>
  <c r="H7" i="11" s="1"/>
  <c r="O30" i="11"/>
  <c r="N30" i="11"/>
  <c r="M30" i="11"/>
  <c r="L30" i="11"/>
  <c r="K30" i="11"/>
  <c r="O29" i="11"/>
  <c r="N29" i="11"/>
  <c r="M29" i="11"/>
  <c r="L29" i="11"/>
  <c r="K29" i="11"/>
  <c r="O28" i="11"/>
  <c r="N28" i="11"/>
  <c r="M28" i="11"/>
  <c r="L28" i="11"/>
  <c r="K28" i="11"/>
  <c r="O26" i="11"/>
  <c r="N26" i="11"/>
  <c r="M26" i="11"/>
  <c r="L26" i="11"/>
  <c r="K26" i="11"/>
  <c r="O25" i="11"/>
  <c r="N25" i="11"/>
  <c r="M25" i="11"/>
  <c r="L25" i="11"/>
  <c r="K25" i="11"/>
  <c r="O24" i="11"/>
  <c r="N24" i="11"/>
  <c r="M24" i="11"/>
  <c r="L24" i="11"/>
  <c r="K24" i="11"/>
  <c r="O22" i="11"/>
  <c r="N22" i="11"/>
  <c r="M22" i="11"/>
  <c r="L22" i="11"/>
  <c r="K22" i="11"/>
  <c r="O21" i="11"/>
  <c r="N21" i="11"/>
  <c r="M21" i="11"/>
  <c r="L21" i="11"/>
  <c r="K21" i="11"/>
  <c r="O20" i="11"/>
  <c r="N20" i="11"/>
  <c r="M20" i="11"/>
  <c r="L20" i="11"/>
  <c r="K20" i="11"/>
  <c r="O13" i="11"/>
  <c r="N13" i="11"/>
  <c r="M13" i="11"/>
  <c r="L13" i="11"/>
  <c r="K13" i="11"/>
  <c r="O12" i="11"/>
  <c r="N12" i="11"/>
  <c r="M12" i="11"/>
  <c r="L12" i="11"/>
  <c r="K12" i="11"/>
  <c r="O11" i="11"/>
  <c r="N11" i="11"/>
  <c r="M11" i="11"/>
  <c r="L11" i="11"/>
  <c r="K11" i="11"/>
  <c r="O9" i="11"/>
  <c r="N9" i="11"/>
  <c r="M9" i="11"/>
  <c r="L9" i="11"/>
  <c r="K9" i="11"/>
  <c r="O8" i="11"/>
  <c r="N8" i="11"/>
  <c r="M8" i="11"/>
  <c r="L8" i="11"/>
  <c r="K8" i="11"/>
  <c r="O7" i="11"/>
  <c r="N7" i="11"/>
  <c r="M7" i="11"/>
  <c r="L7" i="11"/>
  <c r="K7" i="11"/>
  <c r="K4" i="11"/>
  <c r="L4" i="11"/>
  <c r="M4" i="11"/>
  <c r="N4" i="11"/>
  <c r="O4" i="11"/>
  <c r="K5" i="11"/>
  <c r="L5" i="11"/>
  <c r="M5" i="11"/>
  <c r="N5" i="11"/>
  <c r="O5" i="11"/>
  <c r="L3" i="11"/>
  <c r="M3" i="11"/>
  <c r="N3" i="11"/>
  <c r="O3" i="11"/>
  <c r="K3" i="11"/>
  <c r="C7" i="3"/>
  <c r="D7" i="3"/>
  <c r="E7" i="3"/>
  <c r="F7" i="3"/>
  <c r="G7" i="3"/>
  <c r="H7" i="3"/>
  <c r="I7" i="3"/>
  <c r="J7" i="3"/>
  <c r="K7" i="3"/>
  <c r="L7" i="3"/>
  <c r="M7" i="3"/>
  <c r="B7" i="3"/>
  <c r="B45" i="12"/>
  <c r="B18" i="12"/>
  <c r="C3" i="9"/>
  <c r="D3" i="9"/>
  <c r="E3" i="9"/>
  <c r="F3" i="9"/>
  <c r="G3" i="9"/>
  <c r="H3" i="9"/>
  <c r="I3" i="9"/>
  <c r="J3" i="9"/>
  <c r="K3" i="9"/>
  <c r="L3" i="9"/>
  <c r="M3" i="9"/>
  <c r="B3" i="9"/>
  <c r="I4" i="11"/>
  <c r="I5" i="11"/>
  <c r="H5" i="11"/>
  <c r="I3" i="11"/>
  <c r="H3" i="11" s="1"/>
  <c r="B58" i="12"/>
  <c r="B28" i="12"/>
  <c r="P58" i="9"/>
  <c r="Q58" i="9"/>
  <c r="R58" i="9"/>
  <c r="S58" i="9"/>
  <c r="P57" i="9"/>
  <c r="Q57" i="9"/>
  <c r="R57" i="9"/>
  <c r="S57" i="9"/>
  <c r="B57" i="9"/>
  <c r="O57" i="9" s="1"/>
  <c r="G32" i="11"/>
  <c r="F14" i="4" s="1"/>
  <c r="F32" i="11"/>
  <c r="E14" i="4" s="1"/>
  <c r="E32" i="11"/>
  <c r="D14" i="4" s="1"/>
  <c r="D32" i="11"/>
  <c r="C14" i="4" s="1"/>
  <c r="C32" i="11"/>
  <c r="B14" i="4" s="1"/>
  <c r="D15" i="11"/>
  <c r="C10" i="4" s="1"/>
  <c r="E15" i="11"/>
  <c r="D10" i="4" s="1"/>
  <c r="F15" i="11"/>
  <c r="E10" i="4" s="1"/>
  <c r="G15" i="11"/>
  <c r="F10" i="4" s="1"/>
  <c r="C15" i="11"/>
  <c r="B10" i="4" s="1"/>
  <c r="H4" i="11"/>
  <c r="C35" i="9"/>
  <c r="D35" i="9"/>
  <c r="E35" i="9"/>
  <c r="F35" i="9"/>
  <c r="G35" i="9"/>
  <c r="H35" i="9"/>
  <c r="I35" i="9"/>
  <c r="J35" i="9"/>
  <c r="K35" i="9"/>
  <c r="L35" i="9"/>
  <c r="M35" i="9"/>
  <c r="C36" i="9"/>
  <c r="D36" i="9"/>
  <c r="E36" i="9"/>
  <c r="F36" i="9"/>
  <c r="G36" i="9"/>
  <c r="H36" i="9"/>
  <c r="I36" i="9"/>
  <c r="J36" i="9"/>
  <c r="K36" i="9"/>
  <c r="L36" i="9"/>
  <c r="M36" i="9"/>
  <c r="C37" i="9"/>
  <c r="D37" i="9"/>
  <c r="E37" i="9"/>
  <c r="F37" i="9"/>
  <c r="G37" i="9"/>
  <c r="H37" i="9"/>
  <c r="I37" i="9"/>
  <c r="J37" i="9"/>
  <c r="K37" i="9"/>
  <c r="L37" i="9"/>
  <c r="M37" i="9"/>
  <c r="C38" i="9"/>
  <c r="D38" i="9"/>
  <c r="E38" i="9"/>
  <c r="F38" i="9"/>
  <c r="G38" i="9"/>
  <c r="H38" i="9"/>
  <c r="I38" i="9"/>
  <c r="J38" i="9"/>
  <c r="K38" i="9"/>
  <c r="L38" i="9"/>
  <c r="M38" i="9"/>
  <c r="C39" i="9"/>
  <c r="D39" i="9"/>
  <c r="E39" i="9"/>
  <c r="F39" i="9"/>
  <c r="G39" i="9"/>
  <c r="H39" i="9"/>
  <c r="I39" i="9"/>
  <c r="J39" i="9"/>
  <c r="K39" i="9"/>
  <c r="L39" i="9"/>
  <c r="M39" i="9"/>
  <c r="C40" i="9"/>
  <c r="D40" i="9"/>
  <c r="E40" i="9"/>
  <c r="F40" i="9"/>
  <c r="G40" i="9"/>
  <c r="H40" i="9"/>
  <c r="I40" i="9"/>
  <c r="J40" i="9"/>
  <c r="K40" i="9"/>
  <c r="L40" i="9"/>
  <c r="M40" i="9"/>
  <c r="C41" i="9"/>
  <c r="D41" i="9"/>
  <c r="E41" i="9"/>
  <c r="F41" i="9"/>
  <c r="G41" i="9"/>
  <c r="H41" i="9"/>
  <c r="I41" i="9"/>
  <c r="J41" i="9"/>
  <c r="K41" i="9"/>
  <c r="L41" i="9"/>
  <c r="M41" i="9"/>
  <c r="C42" i="9"/>
  <c r="D42" i="9"/>
  <c r="E42" i="9"/>
  <c r="F42" i="9"/>
  <c r="G42" i="9"/>
  <c r="H42" i="9"/>
  <c r="I42" i="9"/>
  <c r="J42" i="9"/>
  <c r="K42" i="9"/>
  <c r="L42" i="9"/>
  <c r="M42" i="9"/>
  <c r="C43" i="9"/>
  <c r="D43" i="9"/>
  <c r="E43" i="9"/>
  <c r="F43" i="9"/>
  <c r="G43" i="9"/>
  <c r="H43" i="9"/>
  <c r="I43" i="9"/>
  <c r="J43" i="9"/>
  <c r="K43" i="9"/>
  <c r="L43" i="9"/>
  <c r="M43" i="9"/>
  <c r="C44" i="9"/>
  <c r="D44" i="9"/>
  <c r="E44" i="9"/>
  <c r="F44" i="9"/>
  <c r="G44" i="9"/>
  <c r="H44" i="9"/>
  <c r="I44" i="9"/>
  <c r="J44" i="9"/>
  <c r="K44" i="9"/>
  <c r="L44" i="9"/>
  <c r="M44" i="9"/>
  <c r="C45" i="9"/>
  <c r="D45" i="9"/>
  <c r="E45" i="9"/>
  <c r="F45" i="9"/>
  <c r="G45" i="9"/>
  <c r="H45" i="9"/>
  <c r="I45" i="9"/>
  <c r="J45" i="9"/>
  <c r="K45" i="9"/>
  <c r="L45" i="9"/>
  <c r="M45" i="9"/>
  <c r="C46" i="9"/>
  <c r="D46" i="9"/>
  <c r="E46" i="9"/>
  <c r="F46" i="9"/>
  <c r="G46" i="9"/>
  <c r="H46" i="9"/>
  <c r="I46" i="9"/>
  <c r="J46" i="9"/>
  <c r="K46" i="9"/>
  <c r="L46" i="9"/>
  <c r="M46" i="9"/>
  <c r="B36" i="9"/>
  <c r="B37" i="9"/>
  <c r="B38" i="9"/>
  <c r="B39" i="9"/>
  <c r="B40" i="9"/>
  <c r="B41" i="9"/>
  <c r="B42" i="9"/>
  <c r="B43" i="9"/>
  <c r="B44" i="9"/>
  <c r="B45" i="9"/>
  <c r="B46" i="9"/>
  <c r="B35" i="9"/>
  <c r="C24" i="9"/>
  <c r="D24" i="9"/>
  <c r="E24" i="9"/>
  <c r="F24" i="9"/>
  <c r="G24" i="9"/>
  <c r="H24" i="9"/>
  <c r="I24" i="9"/>
  <c r="J24" i="9"/>
  <c r="K24" i="9"/>
  <c r="L24" i="9"/>
  <c r="M24" i="9"/>
  <c r="C25" i="9"/>
  <c r="D25" i="9"/>
  <c r="E25" i="9"/>
  <c r="F25" i="9"/>
  <c r="G25" i="9"/>
  <c r="H25" i="9"/>
  <c r="I25" i="9"/>
  <c r="J25" i="9"/>
  <c r="K25" i="9"/>
  <c r="L25" i="9"/>
  <c r="M25" i="9"/>
  <c r="C27" i="9"/>
  <c r="D27" i="9"/>
  <c r="E27" i="9"/>
  <c r="F27" i="9"/>
  <c r="G27" i="9"/>
  <c r="H27" i="9"/>
  <c r="I27" i="9"/>
  <c r="J27" i="9"/>
  <c r="K27" i="9"/>
  <c r="L27" i="9"/>
  <c r="M27" i="9"/>
  <c r="C28" i="9"/>
  <c r="D28" i="9"/>
  <c r="E28" i="9"/>
  <c r="F28" i="9"/>
  <c r="G28" i="9"/>
  <c r="H28" i="9"/>
  <c r="I28" i="9"/>
  <c r="J28" i="9"/>
  <c r="K28" i="9"/>
  <c r="L28" i="9"/>
  <c r="M28" i="9"/>
  <c r="C29" i="9"/>
  <c r="D29" i="9"/>
  <c r="E29" i="9"/>
  <c r="F29" i="9"/>
  <c r="G29" i="9"/>
  <c r="H29" i="9"/>
  <c r="I29" i="9"/>
  <c r="J29" i="9"/>
  <c r="K29" i="9"/>
  <c r="L29" i="9"/>
  <c r="M29" i="9"/>
  <c r="C30" i="9"/>
  <c r="D30" i="9"/>
  <c r="E30" i="9"/>
  <c r="F30" i="9"/>
  <c r="G30" i="9"/>
  <c r="H30" i="9"/>
  <c r="I30" i="9"/>
  <c r="J30" i="9"/>
  <c r="K30" i="9"/>
  <c r="L30" i="9"/>
  <c r="M30" i="9"/>
  <c r="C31" i="9"/>
  <c r="D31" i="9"/>
  <c r="E31" i="9"/>
  <c r="F31" i="9"/>
  <c r="G31" i="9"/>
  <c r="H31" i="9"/>
  <c r="I31" i="9"/>
  <c r="J31" i="9"/>
  <c r="K31" i="9"/>
  <c r="L31" i="9"/>
  <c r="M31" i="9"/>
  <c r="B25" i="9"/>
  <c r="B27" i="9"/>
  <c r="B28" i="9"/>
  <c r="B29" i="9"/>
  <c r="B30" i="9"/>
  <c r="B31" i="9"/>
  <c r="B24" i="9"/>
  <c r="C14" i="9"/>
  <c r="C59" i="9" s="1"/>
  <c r="B14" i="9"/>
  <c r="B59" i="9" s="1"/>
  <c r="O33" i="7"/>
  <c r="O34" i="7"/>
  <c r="O37" i="9" s="1"/>
  <c r="O35" i="7"/>
  <c r="O38" i="9" s="1"/>
  <c r="O36" i="7"/>
  <c r="O39" i="9" s="1"/>
  <c r="O37" i="7"/>
  <c r="O38" i="7"/>
  <c r="O41" i="9" s="1"/>
  <c r="O39" i="7"/>
  <c r="O40" i="7"/>
  <c r="P40" i="7" s="1"/>
  <c r="Q40" i="7" s="1"/>
  <c r="O41" i="7"/>
  <c r="O44" i="9" s="1"/>
  <c r="O42" i="7"/>
  <c r="O43" i="7"/>
  <c r="P43" i="7" s="1"/>
  <c r="O32" i="7"/>
  <c r="O22" i="7"/>
  <c r="P22" i="7" s="1"/>
  <c r="O24" i="7"/>
  <c r="O25" i="7"/>
  <c r="P25" i="7" s="1"/>
  <c r="P28" i="9" s="1"/>
  <c r="O26" i="7"/>
  <c r="O27" i="7"/>
  <c r="P27" i="7" s="1"/>
  <c r="O28" i="7"/>
  <c r="O21" i="7"/>
  <c r="O24" i="9" s="1"/>
  <c r="C44" i="7"/>
  <c r="C47" i="9" s="1"/>
  <c r="D44" i="7"/>
  <c r="D47" i="9" s="1"/>
  <c r="E44" i="7"/>
  <c r="F44" i="7"/>
  <c r="F47" i="9" s="1"/>
  <c r="G44" i="7"/>
  <c r="H44" i="7"/>
  <c r="H47" i="9" s="1"/>
  <c r="I44" i="7"/>
  <c r="J44" i="7"/>
  <c r="K44" i="7"/>
  <c r="K47" i="9" s="1"/>
  <c r="L44" i="7"/>
  <c r="L47" i="9" s="1"/>
  <c r="M44" i="7"/>
  <c r="B44" i="7"/>
  <c r="B47" i="9" s="1"/>
  <c r="C24" i="4"/>
  <c r="D24" i="4"/>
  <c r="E24" i="4"/>
  <c r="F24" i="4"/>
  <c r="B24" i="4"/>
  <c r="M37" i="4"/>
  <c r="M38" i="4" s="1"/>
  <c r="L37" i="4"/>
  <c r="L38" i="4"/>
  <c r="K37" i="4"/>
  <c r="K38" i="4" s="1"/>
  <c r="J37" i="4"/>
  <c r="J38" i="4"/>
  <c r="I37" i="4"/>
  <c r="I38" i="4" s="1"/>
  <c r="C4" i="3"/>
  <c r="C4" i="9" s="1"/>
  <c r="D4" i="3"/>
  <c r="D4" i="6" s="1"/>
  <c r="D9" i="9" s="1"/>
  <c r="E4" i="3"/>
  <c r="E5" i="3" s="1"/>
  <c r="F4" i="3"/>
  <c r="F5" i="3" s="1"/>
  <c r="G4" i="3"/>
  <c r="G5" i="3" s="1"/>
  <c r="G4" i="10" s="1"/>
  <c r="H4" i="3"/>
  <c r="H4" i="6" s="1"/>
  <c r="H9" i="9" s="1"/>
  <c r="I4" i="3"/>
  <c r="J4" i="3"/>
  <c r="J5" i="3" s="1"/>
  <c r="J5" i="9" s="1"/>
  <c r="K4" i="3"/>
  <c r="K5" i="3" s="1"/>
  <c r="K5" i="9" s="1"/>
  <c r="L4" i="3"/>
  <c r="L4" i="9" s="1"/>
  <c r="L4" i="6"/>
  <c r="L9" i="9" s="1"/>
  <c r="M4" i="3"/>
  <c r="M5" i="3" s="1"/>
  <c r="B4" i="3"/>
  <c r="B4" i="6" s="1"/>
  <c r="B9" i="9" s="1"/>
  <c r="C3" i="6"/>
  <c r="D3" i="6"/>
  <c r="D5" i="6" s="1"/>
  <c r="D6" i="6" s="1"/>
  <c r="D11" i="9" s="1"/>
  <c r="E3" i="6"/>
  <c r="E8" i="9" s="1"/>
  <c r="F3" i="6"/>
  <c r="F8" i="9" s="1"/>
  <c r="G3" i="6"/>
  <c r="G8" i="9" s="1"/>
  <c r="H3" i="6"/>
  <c r="I3" i="6"/>
  <c r="I8" i="9" s="1"/>
  <c r="J3" i="6"/>
  <c r="K3" i="6"/>
  <c r="K8" i="9" s="1"/>
  <c r="L3" i="6"/>
  <c r="L8" i="9" s="1"/>
  <c r="M3" i="6"/>
  <c r="M8" i="9" s="1"/>
  <c r="B3" i="6"/>
  <c r="O3" i="3"/>
  <c r="P3" i="3" s="1"/>
  <c r="J4" i="6"/>
  <c r="J9" i="9" s="1"/>
  <c r="P36" i="7"/>
  <c r="Q36" i="7" s="1"/>
  <c r="Q39" i="9" s="1"/>
  <c r="D5" i="3"/>
  <c r="P17" i="4"/>
  <c r="Q17" i="4"/>
  <c r="R17" i="4"/>
  <c r="S17" i="4"/>
  <c r="T17" i="4"/>
  <c r="D4" i="9"/>
  <c r="J4" i="9"/>
  <c r="L5" i="3"/>
  <c r="L4" i="10" s="1"/>
  <c r="K4" i="6"/>
  <c r="K9" i="9" s="1"/>
  <c r="O5" i="7"/>
  <c r="D4" i="10"/>
  <c r="B5" i="3"/>
  <c r="B4" i="9"/>
  <c r="D5" i="9"/>
  <c r="H5" i="3" l="1"/>
  <c r="D3" i="10"/>
  <c r="M4" i="6"/>
  <c r="M9" i="9" s="1"/>
  <c r="C5" i="3"/>
  <c r="K4" i="9"/>
  <c r="C4" i="6"/>
  <c r="C9" i="9" s="1"/>
  <c r="P34" i="7"/>
  <c r="Q34" i="7" s="1"/>
  <c r="R34" i="7" s="1"/>
  <c r="R37" i="9" s="1"/>
  <c r="F4" i="9"/>
  <c r="P35" i="7"/>
  <c r="Q35" i="7" s="1"/>
  <c r="Q38" i="9" s="1"/>
  <c r="J16" i="10"/>
  <c r="O46" i="9"/>
  <c r="M4" i="10"/>
  <c r="M5" i="9"/>
  <c r="M3" i="10"/>
  <c r="Q43" i="7"/>
  <c r="R43" i="7" s="1"/>
  <c r="P46" i="9"/>
  <c r="M32" i="11"/>
  <c r="N32" i="11"/>
  <c r="K32" i="11"/>
  <c r="B15" i="4" s="1"/>
  <c r="L3" i="10"/>
  <c r="L5" i="9"/>
  <c r="H4" i="10"/>
  <c r="H5" i="10" s="1"/>
  <c r="M4" i="9"/>
  <c r="H6" i="10"/>
  <c r="H4" i="9"/>
  <c r="P21" i="7"/>
  <c r="F4" i="6"/>
  <c r="F5" i="6" s="1"/>
  <c r="D8" i="9"/>
  <c r="E4" i="6"/>
  <c r="E9" i="9" s="1"/>
  <c r="N15" i="11"/>
  <c r="L15" i="11"/>
  <c r="C12" i="4" s="1"/>
  <c r="P4" i="7" s="1"/>
  <c r="J6" i="10"/>
  <c r="G5" i="10"/>
  <c r="D5" i="10"/>
  <c r="M6" i="10"/>
  <c r="B6" i="10"/>
  <c r="L5" i="10"/>
  <c r="C6" i="10"/>
  <c r="F6" i="10"/>
  <c r="L6" i="10"/>
  <c r="M5" i="10"/>
  <c r="K15" i="11"/>
  <c r="B12" i="4" s="1"/>
  <c r="M15" i="11"/>
  <c r="D11" i="4" s="1"/>
  <c r="B60" i="12"/>
  <c r="B27" i="4" s="1"/>
  <c r="B58" i="9" s="1"/>
  <c r="O58" i="9" s="1"/>
  <c r="O43" i="9"/>
  <c r="P41" i="7"/>
  <c r="R40" i="7"/>
  <c r="Q43" i="9"/>
  <c r="P43" i="9"/>
  <c r="P38" i="7"/>
  <c r="P39" i="9"/>
  <c r="R35" i="7"/>
  <c r="P38" i="9"/>
  <c r="F16" i="10"/>
  <c r="L16" i="10"/>
  <c r="J47" i="9"/>
  <c r="O44" i="7"/>
  <c r="O47" i="9" s="1"/>
  <c r="K16" i="10"/>
  <c r="H16" i="10"/>
  <c r="O30" i="9"/>
  <c r="Q27" i="7"/>
  <c r="P30" i="9"/>
  <c r="O28" i="9"/>
  <c r="Q25" i="7"/>
  <c r="R25" i="7" s="1"/>
  <c r="O25" i="9"/>
  <c r="Q22" i="7"/>
  <c r="Q25" i="9" s="1"/>
  <c r="P25" i="9"/>
  <c r="L5" i="6"/>
  <c r="L7" i="6" s="1"/>
  <c r="L12" i="9" s="1"/>
  <c r="M5" i="6"/>
  <c r="M10" i="9" s="1"/>
  <c r="D10" i="9"/>
  <c r="K5" i="6"/>
  <c r="L10" i="9"/>
  <c r="D7" i="6"/>
  <c r="D8" i="6" s="1"/>
  <c r="G3" i="10"/>
  <c r="G5" i="9"/>
  <c r="O3" i="6"/>
  <c r="O8" i="9" s="1"/>
  <c r="G6" i="10"/>
  <c r="E4" i="9"/>
  <c r="G4" i="9"/>
  <c r="G4" i="6"/>
  <c r="G9" i="9" s="1"/>
  <c r="E3" i="10"/>
  <c r="E4" i="10"/>
  <c r="E5" i="10" s="1"/>
  <c r="E5" i="9"/>
  <c r="E6" i="10"/>
  <c r="B16" i="10"/>
  <c r="B5" i="6"/>
  <c r="B3" i="10"/>
  <c r="B8" i="9"/>
  <c r="I4" i="6"/>
  <c r="I5" i="3"/>
  <c r="I16" i="10" s="1"/>
  <c r="I4" i="9"/>
  <c r="O4" i="3"/>
  <c r="O29" i="9"/>
  <c r="P26" i="7"/>
  <c r="O36" i="9"/>
  <c r="P33" i="7"/>
  <c r="E16" i="4"/>
  <c r="R10" i="7" s="1"/>
  <c r="E15" i="4"/>
  <c r="F9" i="9"/>
  <c r="E5" i="6"/>
  <c r="G16" i="10"/>
  <c r="G47" i="9"/>
  <c r="K4" i="10"/>
  <c r="K5" i="10" s="1"/>
  <c r="K3" i="10"/>
  <c r="K6" i="10"/>
  <c r="H8" i="9"/>
  <c r="H5" i="6"/>
  <c r="C8" i="9"/>
  <c r="C5" i="6"/>
  <c r="I47" i="9"/>
  <c r="P28" i="7"/>
  <c r="O31" i="9"/>
  <c r="C5" i="9"/>
  <c r="C16" i="10"/>
  <c r="B4" i="10"/>
  <c r="B5" i="10" s="1"/>
  <c r="B5" i="9"/>
  <c r="M16" i="10"/>
  <c r="M47" i="9"/>
  <c r="E16" i="10"/>
  <c r="E47" i="9"/>
  <c r="Q46" i="9"/>
  <c r="Q21" i="7"/>
  <c r="P24" i="9"/>
  <c r="R36" i="7"/>
  <c r="E11" i="4"/>
  <c r="E12" i="4"/>
  <c r="R4" i="7" s="1"/>
  <c r="F5" i="9"/>
  <c r="F4" i="10"/>
  <c r="F5" i="10" s="1"/>
  <c r="F3" i="10"/>
  <c r="O27" i="9"/>
  <c r="P24" i="7"/>
  <c r="O42" i="9"/>
  <c r="P39" i="7"/>
  <c r="P3" i="9"/>
  <c r="Q3" i="3"/>
  <c r="P3" i="6"/>
  <c r="P7" i="3"/>
  <c r="J5" i="6"/>
  <c r="J8" i="9"/>
  <c r="J4" i="10"/>
  <c r="J5" i="10" s="1"/>
  <c r="J3" i="10"/>
  <c r="O7" i="3"/>
  <c r="O3" i="9"/>
  <c r="O45" i="9"/>
  <c r="P42" i="7"/>
  <c r="O15" i="11"/>
  <c r="L32" i="11"/>
  <c r="O32" i="11"/>
  <c r="D6" i="10"/>
  <c r="D16" i="10"/>
  <c r="O35" i="9"/>
  <c r="P32" i="7"/>
  <c r="O40" i="9"/>
  <c r="P37" i="7"/>
  <c r="Q37" i="9" l="1"/>
  <c r="C4" i="10"/>
  <c r="C5" i="10" s="1"/>
  <c r="C3" i="10"/>
  <c r="S34" i="7"/>
  <c r="S37" i="9" s="1"/>
  <c r="P37" i="9"/>
  <c r="H3" i="10"/>
  <c r="H5" i="9"/>
  <c r="B16" i="4"/>
  <c r="D16" i="4"/>
  <c r="Q10" i="7" s="1"/>
  <c r="D15" i="4"/>
  <c r="C11" i="4"/>
  <c r="M6" i="6"/>
  <c r="M11" i="9" s="1"/>
  <c r="B11" i="4"/>
  <c r="C4" i="7" s="1"/>
  <c r="C6" i="7" s="1"/>
  <c r="C7" i="7" s="1"/>
  <c r="D12" i="4"/>
  <c r="Q4" i="7" s="1"/>
  <c r="Q6" i="7" s="1"/>
  <c r="Q7" i="7" s="1"/>
  <c r="Q28" i="9"/>
  <c r="P44" i="9"/>
  <c r="Q41" i="7"/>
  <c r="S40" i="7"/>
  <c r="S43" i="9" s="1"/>
  <c r="R43" i="9"/>
  <c r="P41" i="9"/>
  <c r="Q38" i="7"/>
  <c r="R38" i="9"/>
  <c r="S35" i="7"/>
  <c r="S38" i="9" s="1"/>
  <c r="Q30" i="9"/>
  <c r="R27" i="7"/>
  <c r="R22" i="7"/>
  <c r="R25" i="9" s="1"/>
  <c r="D12" i="9"/>
  <c r="M7" i="6"/>
  <c r="M12" i="9" s="1"/>
  <c r="O4" i="6"/>
  <c r="O5" i="6" s="1"/>
  <c r="U4" i="6" s="1"/>
  <c r="L6" i="6"/>
  <c r="L11" i="9" s="1"/>
  <c r="K7" i="6"/>
  <c r="K12" i="9" s="1"/>
  <c r="K10" i="9"/>
  <c r="K6" i="6"/>
  <c r="K11" i="9" s="1"/>
  <c r="G5" i="6"/>
  <c r="G7" i="6" s="1"/>
  <c r="G12" i="9" s="1"/>
  <c r="B7" i="6"/>
  <c r="B12" i="9" s="1"/>
  <c r="B10" i="9"/>
  <c r="B6" i="6"/>
  <c r="Q37" i="7"/>
  <c r="P40" i="9"/>
  <c r="F12" i="4"/>
  <c r="S4" i="7" s="1"/>
  <c r="F11" i="4"/>
  <c r="P8" i="9"/>
  <c r="H6" i="6"/>
  <c r="H11" i="9" s="1"/>
  <c r="H7" i="6"/>
  <c r="H12" i="9" s="1"/>
  <c r="H10" i="9"/>
  <c r="R12" i="7"/>
  <c r="R11" i="7"/>
  <c r="P29" i="9"/>
  <c r="Q26" i="7"/>
  <c r="P45" i="9"/>
  <c r="Q42" i="7"/>
  <c r="Q7" i="3"/>
  <c r="R3" i="3"/>
  <c r="Q3" i="6"/>
  <c r="Q3" i="9"/>
  <c r="P42" i="9"/>
  <c r="Q39" i="7"/>
  <c r="Q24" i="9"/>
  <c r="R21" i="7"/>
  <c r="R46" i="9"/>
  <c r="S43" i="7"/>
  <c r="D23" i="7"/>
  <c r="D11" i="10"/>
  <c r="D13" i="9"/>
  <c r="F9" i="6"/>
  <c r="F14" i="9" s="1"/>
  <c r="F59" i="9" s="1"/>
  <c r="D9" i="10"/>
  <c r="S25" i="7"/>
  <c r="R28" i="9"/>
  <c r="E7" i="6"/>
  <c r="E12" i="9" s="1"/>
  <c r="E10" i="9"/>
  <c r="E6" i="6"/>
  <c r="E11" i="9" s="1"/>
  <c r="F7" i="6"/>
  <c r="F12" i="9" s="1"/>
  <c r="F10" i="9"/>
  <c r="F6" i="6"/>
  <c r="F11" i="9" s="1"/>
  <c r="I9" i="9"/>
  <c r="I5" i="6"/>
  <c r="Q32" i="7"/>
  <c r="P35" i="9"/>
  <c r="P44" i="7"/>
  <c r="F16" i="4"/>
  <c r="S10" i="7" s="1"/>
  <c r="F15" i="4"/>
  <c r="J6" i="6"/>
  <c r="J11" i="9" s="1"/>
  <c r="J7" i="6"/>
  <c r="J12" i="9" s="1"/>
  <c r="J10" i="9"/>
  <c r="G10" i="7"/>
  <c r="C10" i="7"/>
  <c r="B10" i="7"/>
  <c r="I10" i="7"/>
  <c r="E10" i="7"/>
  <c r="K10" i="7"/>
  <c r="H10" i="7"/>
  <c r="D10" i="7"/>
  <c r="L10" i="7"/>
  <c r="M10" i="7"/>
  <c r="J10" i="7"/>
  <c r="F10" i="7"/>
  <c r="C10" i="9"/>
  <c r="C6" i="6"/>
  <c r="C11" i="9" s="1"/>
  <c r="C7" i="6"/>
  <c r="C12" i="9" s="1"/>
  <c r="Q33" i="7"/>
  <c r="P36" i="9"/>
  <c r="O5" i="3"/>
  <c r="O4" i="9"/>
  <c r="P4" i="3"/>
  <c r="C15" i="4"/>
  <c r="C16" i="4"/>
  <c r="P10" i="7" s="1"/>
  <c r="P15" i="7" s="1"/>
  <c r="P6" i="7"/>
  <c r="P7" i="7" s="1"/>
  <c r="Q24" i="7"/>
  <c r="P27" i="9"/>
  <c r="S36" i="7"/>
  <c r="R39" i="9"/>
  <c r="Q28" i="7"/>
  <c r="P31" i="9"/>
  <c r="P12" i="4"/>
  <c r="R6" i="7"/>
  <c r="R7" i="7" s="1"/>
  <c r="R15" i="7"/>
  <c r="I3" i="10"/>
  <c r="I6" i="10"/>
  <c r="I4" i="10"/>
  <c r="I5" i="10" s="1"/>
  <c r="I5" i="9"/>
  <c r="Q12" i="7" l="1"/>
  <c r="Q11" i="7"/>
  <c r="G4" i="7"/>
  <c r="G6" i="7" s="1"/>
  <c r="E4" i="7"/>
  <c r="E15" i="7" s="1"/>
  <c r="E18" i="9" s="1"/>
  <c r="D4" i="7"/>
  <c r="D6" i="7" s="1"/>
  <c r="D7" i="7" s="1"/>
  <c r="B4" i="7"/>
  <c r="B6" i="7" s="1"/>
  <c r="B7" i="7" s="1"/>
  <c r="H4" i="7"/>
  <c r="H6" i="7" s="1"/>
  <c r="H7" i="7" s="1"/>
  <c r="M4" i="7"/>
  <c r="C15" i="7"/>
  <c r="C18" i="9" s="1"/>
  <c r="F4" i="7"/>
  <c r="F6" i="7" s="1"/>
  <c r="F7" i="7" s="1"/>
  <c r="L4" i="7"/>
  <c r="L6" i="7" s="1"/>
  <c r="L7" i="7" s="1"/>
  <c r="I4" i="7"/>
  <c r="I6" i="7" s="1"/>
  <c r="J4" i="7"/>
  <c r="J6" i="7" s="1"/>
  <c r="J7" i="7" s="1"/>
  <c r="K4" i="7"/>
  <c r="K6" i="7" s="1"/>
  <c r="Q15" i="7"/>
  <c r="Q18" i="9" s="1"/>
  <c r="Q17" i="7"/>
  <c r="Q20" i="9" s="1"/>
  <c r="R13" i="7"/>
  <c r="R41" i="7"/>
  <c r="Q44" i="9"/>
  <c r="S22" i="7"/>
  <c r="S25" i="9" s="1"/>
  <c r="Q41" i="9"/>
  <c r="R38" i="7"/>
  <c r="R30" i="9"/>
  <c r="S27" i="7"/>
  <c r="S30" i="9" s="1"/>
  <c r="L8" i="6"/>
  <c r="L9" i="10" s="1"/>
  <c r="O9" i="9"/>
  <c r="M8" i="6"/>
  <c r="H8" i="6"/>
  <c r="H13" i="9" s="1"/>
  <c r="L13" i="9"/>
  <c r="L10" i="10" s="1"/>
  <c r="K8" i="6"/>
  <c r="G6" i="6"/>
  <c r="G11" i="9" s="1"/>
  <c r="G10" i="9"/>
  <c r="B8" i="6"/>
  <c r="B11" i="9"/>
  <c r="P18" i="9"/>
  <c r="O6" i="10"/>
  <c r="O5" i="9"/>
  <c r="P2" i="4" s="1"/>
  <c r="U5" i="3"/>
  <c r="O4" i="10"/>
  <c r="O3" i="10"/>
  <c r="P25" i="4" s="1"/>
  <c r="U3" i="3"/>
  <c r="O16" i="10"/>
  <c r="P34" i="4" s="1"/>
  <c r="J11" i="7"/>
  <c r="J16" i="7" s="1"/>
  <c r="J19" i="9" s="1"/>
  <c r="J12" i="7"/>
  <c r="H11" i="7"/>
  <c r="H16" i="7" s="1"/>
  <c r="H19" i="9" s="1"/>
  <c r="H12" i="7"/>
  <c r="B12" i="7"/>
  <c r="B11" i="7"/>
  <c r="O10" i="7"/>
  <c r="P47" i="9"/>
  <c r="S28" i="9"/>
  <c r="J15" i="7"/>
  <c r="S6" i="7"/>
  <c r="S15" i="7"/>
  <c r="Q31" i="9"/>
  <c r="R28" i="7"/>
  <c r="U4" i="3"/>
  <c r="R33" i="7"/>
  <c r="Q36" i="9"/>
  <c r="M11" i="7"/>
  <c r="M16" i="7" s="1"/>
  <c r="M19" i="9" s="1"/>
  <c r="M12" i="7"/>
  <c r="K11" i="7"/>
  <c r="K16" i="7" s="1"/>
  <c r="K19" i="9" s="1"/>
  <c r="K12" i="7"/>
  <c r="C11" i="7"/>
  <c r="C16" i="7" s="1"/>
  <c r="C19" i="9" s="1"/>
  <c r="C12" i="7"/>
  <c r="E8" i="6"/>
  <c r="D26" i="9"/>
  <c r="D29" i="7"/>
  <c r="S46" i="9"/>
  <c r="R24" i="9"/>
  <c r="S21" i="7"/>
  <c r="R39" i="7"/>
  <c r="Q42" i="9"/>
  <c r="R26" i="7"/>
  <c r="Q29" i="9"/>
  <c r="R16" i="7"/>
  <c r="R18" i="9"/>
  <c r="O10" i="9"/>
  <c r="U5" i="6"/>
  <c r="O7" i="6"/>
  <c r="U3" i="6"/>
  <c r="O6" i="6"/>
  <c r="C17" i="7"/>
  <c r="C20" i="9" s="1"/>
  <c r="R24" i="7"/>
  <c r="Q27" i="9"/>
  <c r="P5" i="3"/>
  <c r="V4" i="3" s="1"/>
  <c r="P4" i="9"/>
  <c r="P4" i="6"/>
  <c r="Q4" i="3"/>
  <c r="C8" i="6"/>
  <c r="L11" i="7"/>
  <c r="L16" i="7" s="1"/>
  <c r="L19" i="9" s="1"/>
  <c r="L12" i="7"/>
  <c r="E11" i="7"/>
  <c r="E16" i="7" s="1"/>
  <c r="E19" i="9" s="1"/>
  <c r="E12" i="7"/>
  <c r="G11" i="7"/>
  <c r="G16" i="7" s="1"/>
  <c r="G19" i="9" s="1"/>
  <c r="G12" i="7"/>
  <c r="J8" i="6"/>
  <c r="S12" i="7"/>
  <c r="S11" i="7"/>
  <c r="R32" i="7"/>
  <c r="Q35" i="9"/>
  <c r="Q44" i="7"/>
  <c r="F8" i="6"/>
  <c r="Q8" i="9"/>
  <c r="Q45" i="9"/>
  <c r="R42" i="7"/>
  <c r="R17" i="7"/>
  <c r="S39" i="9"/>
  <c r="P12" i="7"/>
  <c r="P11" i="7"/>
  <c r="F11" i="7"/>
  <c r="F16" i="7" s="1"/>
  <c r="F19" i="9" s="1"/>
  <c r="F12" i="7"/>
  <c r="D12" i="7"/>
  <c r="D11" i="7"/>
  <c r="D16" i="7" s="1"/>
  <c r="D19" i="9" s="1"/>
  <c r="I12" i="7"/>
  <c r="I11" i="7"/>
  <c r="I16" i="7" s="1"/>
  <c r="I19" i="9" s="1"/>
  <c r="I10" i="9"/>
  <c r="I6" i="6"/>
  <c r="I11" i="9" s="1"/>
  <c r="I7" i="6"/>
  <c r="I12" i="9" s="1"/>
  <c r="D10" i="10"/>
  <c r="R7" i="3"/>
  <c r="R3" i="6"/>
  <c r="R3" i="9"/>
  <c r="S3" i="3"/>
  <c r="R37" i="7"/>
  <c r="Q40" i="9"/>
  <c r="E13" i="7" l="1"/>
  <c r="G17" i="7"/>
  <c r="Q16" i="7"/>
  <c r="Q19" i="9" s="1"/>
  <c r="Q13" i="7"/>
  <c r="I15" i="7"/>
  <c r="I18" i="9" s="1"/>
  <c r="K7" i="7"/>
  <c r="G7" i="7"/>
  <c r="I17" i="7"/>
  <c r="I20" i="9" s="1"/>
  <c r="I7" i="7"/>
  <c r="G15" i="7"/>
  <c r="G18" i="9" s="1"/>
  <c r="E6" i="7"/>
  <c r="E7" i="7" s="1"/>
  <c r="L15" i="7"/>
  <c r="L18" i="9" s="1"/>
  <c r="H15" i="7"/>
  <c r="H18" i="9" s="1"/>
  <c r="O4" i="7"/>
  <c r="O15" i="7" s="1"/>
  <c r="D17" i="7"/>
  <c r="D20" i="9" s="1"/>
  <c r="D15" i="7"/>
  <c r="D18" i="9" s="1"/>
  <c r="K17" i="7"/>
  <c r="K20" i="9" s="1"/>
  <c r="B15" i="7"/>
  <c r="B18" i="9" s="1"/>
  <c r="F15" i="7"/>
  <c r="F18" i="9" s="1"/>
  <c r="Q18" i="7"/>
  <c r="F17" i="7"/>
  <c r="F20" i="9" s="1"/>
  <c r="B17" i="7"/>
  <c r="B20" i="9" s="1"/>
  <c r="K15" i="7"/>
  <c r="K18" i="9" s="1"/>
  <c r="M15" i="7"/>
  <c r="M18" i="9" s="1"/>
  <c r="M6" i="7"/>
  <c r="M7" i="7" s="1"/>
  <c r="H17" i="7"/>
  <c r="H20" i="9" s="1"/>
  <c r="J17" i="7"/>
  <c r="J20" i="9" s="1"/>
  <c r="S41" i="7"/>
  <c r="S44" i="9" s="1"/>
  <c r="R44" i="9"/>
  <c r="R41" i="9"/>
  <c r="S38" i="7"/>
  <c r="S41" i="9" s="1"/>
  <c r="L17" i="7"/>
  <c r="L20" i="9" s="1"/>
  <c r="M13" i="7"/>
  <c r="H13" i="7"/>
  <c r="J13" i="7"/>
  <c r="L23" i="7"/>
  <c r="L26" i="9" s="1"/>
  <c r="L11" i="10"/>
  <c r="H9" i="10"/>
  <c r="M11" i="10"/>
  <c r="M9" i="10"/>
  <c r="M23" i="7"/>
  <c r="M13" i="9"/>
  <c r="M10" i="10" s="1"/>
  <c r="H23" i="7"/>
  <c r="H26" i="9" s="1"/>
  <c r="H11" i="10"/>
  <c r="J9" i="6"/>
  <c r="J14" i="9" s="1"/>
  <c r="J59" i="9" s="1"/>
  <c r="M9" i="6"/>
  <c r="M14" i="9" s="1"/>
  <c r="M59" i="9" s="1"/>
  <c r="K23" i="7"/>
  <c r="K11" i="10"/>
  <c r="K13" i="9"/>
  <c r="K10" i="10" s="1"/>
  <c r="K9" i="10"/>
  <c r="G8" i="6"/>
  <c r="I9" i="6" s="1"/>
  <c r="I14" i="9" s="1"/>
  <c r="I59" i="9" s="1"/>
  <c r="B9" i="10"/>
  <c r="B23" i="7"/>
  <c r="D9" i="6"/>
  <c r="D14" i="9" s="1"/>
  <c r="D59" i="9" s="1"/>
  <c r="B11" i="10"/>
  <c r="B13" i="9"/>
  <c r="B10" i="10" s="1"/>
  <c r="G20" i="9"/>
  <c r="S3" i="9"/>
  <c r="S3" i="6"/>
  <c r="S7" i="3"/>
  <c r="P16" i="7"/>
  <c r="S16" i="7"/>
  <c r="Q4" i="9"/>
  <c r="R4" i="3"/>
  <c r="Q4" i="6"/>
  <c r="Q5" i="3"/>
  <c r="W4" i="3" s="1"/>
  <c r="S17" i="7"/>
  <c r="S18" i="7" s="1"/>
  <c r="Q12" i="4"/>
  <c r="O5" i="10"/>
  <c r="P26" i="4"/>
  <c r="P27" i="4" s="1"/>
  <c r="C18" i="7"/>
  <c r="S13" i="7"/>
  <c r="G13" i="7"/>
  <c r="P9" i="9"/>
  <c r="P5" i="6"/>
  <c r="V4" i="6" s="1"/>
  <c r="R27" i="9"/>
  <c r="S24" i="7"/>
  <c r="U7" i="6"/>
  <c r="O12" i="9"/>
  <c r="B16" i="7"/>
  <c r="B19" i="9" s="1"/>
  <c r="O11" i="7"/>
  <c r="D13" i="7"/>
  <c r="P13" i="7"/>
  <c r="F23" i="7"/>
  <c r="F9" i="10"/>
  <c r="F11" i="10"/>
  <c r="F13" i="9"/>
  <c r="H9" i="6"/>
  <c r="H14" i="9" s="1"/>
  <c r="H59" i="9" s="1"/>
  <c r="S32" i="7"/>
  <c r="R35" i="9"/>
  <c r="R44" i="7"/>
  <c r="Q21" i="9"/>
  <c r="P17" i="7"/>
  <c r="O8" i="6"/>
  <c r="S39" i="7"/>
  <c r="R42" i="9"/>
  <c r="D32" i="9"/>
  <c r="D15" i="10"/>
  <c r="K13" i="7"/>
  <c r="S7" i="7"/>
  <c r="O12" i="7"/>
  <c r="R8" i="9"/>
  <c r="I8" i="6"/>
  <c r="I13" i="7"/>
  <c r="F13" i="7"/>
  <c r="L9" i="6"/>
  <c r="L14" i="9" s="1"/>
  <c r="L59" i="9" s="1"/>
  <c r="J23" i="7"/>
  <c r="J13" i="9"/>
  <c r="J9" i="10"/>
  <c r="J11" i="10"/>
  <c r="L13" i="7"/>
  <c r="C9" i="10"/>
  <c r="C23" i="7"/>
  <c r="E9" i="6"/>
  <c r="C13" i="9"/>
  <c r="C11" i="10"/>
  <c r="O11" i="9"/>
  <c r="U6" i="6"/>
  <c r="P3" i="4"/>
  <c r="S26" i="7"/>
  <c r="R29" i="9"/>
  <c r="S33" i="7"/>
  <c r="R36" i="9"/>
  <c r="S18" i="9"/>
  <c r="B13" i="7"/>
  <c r="I32" i="4"/>
  <c r="P28" i="4"/>
  <c r="C17" i="11"/>
  <c r="S37" i="7"/>
  <c r="R40" i="9"/>
  <c r="R20" i="9"/>
  <c r="R45" i="9"/>
  <c r="S42" i="7"/>
  <c r="Q47" i="9"/>
  <c r="P3" i="10"/>
  <c r="Q25" i="4" s="1"/>
  <c r="V3" i="3"/>
  <c r="V5" i="3"/>
  <c r="P4" i="10"/>
  <c r="P6" i="10"/>
  <c r="P5" i="9"/>
  <c r="Q2" i="4" s="1"/>
  <c r="R19" i="9"/>
  <c r="E23" i="7"/>
  <c r="G9" i="6"/>
  <c r="G14" i="9" s="1"/>
  <c r="G59" i="9" s="1"/>
  <c r="E9" i="10"/>
  <c r="E11" i="10"/>
  <c r="E13" i="9"/>
  <c r="H10" i="10"/>
  <c r="R18" i="7"/>
  <c r="S24" i="9"/>
  <c r="S28" i="7"/>
  <c r="R31" i="9"/>
  <c r="J18" i="9"/>
  <c r="P16" i="10"/>
  <c r="Q34" i="4" s="1"/>
  <c r="C13" i="7"/>
  <c r="I18" i="7" l="1"/>
  <c r="O6" i="7"/>
  <c r="G18" i="7"/>
  <c r="G14" i="10" s="1"/>
  <c r="E17" i="7"/>
  <c r="E20" i="9" s="1"/>
  <c r="H18" i="7"/>
  <c r="H14" i="10" s="1"/>
  <c r="D18" i="7"/>
  <c r="D21" i="9" s="1"/>
  <c r="K18" i="7"/>
  <c r="K21" i="9" s="1"/>
  <c r="O7" i="7"/>
  <c r="U7" i="7" s="1"/>
  <c r="F18" i="7"/>
  <c r="F21" i="9" s="1"/>
  <c r="M17" i="7"/>
  <c r="J18" i="7"/>
  <c r="J21" i="9" s="1"/>
  <c r="O17" i="7"/>
  <c r="O20" i="9" s="1"/>
  <c r="O13" i="7"/>
  <c r="U6" i="7"/>
  <c r="L18" i="7"/>
  <c r="L14" i="10" s="1"/>
  <c r="E18" i="7"/>
  <c r="E21" i="9" s="1"/>
  <c r="B18" i="7"/>
  <c r="B21" i="9" s="1"/>
  <c r="L29" i="7"/>
  <c r="L15" i="10" s="1"/>
  <c r="H29" i="7"/>
  <c r="H32" i="9" s="1"/>
  <c r="M29" i="7"/>
  <c r="M26" i="9"/>
  <c r="G11" i="10"/>
  <c r="K26" i="9"/>
  <c r="K29" i="7"/>
  <c r="G9" i="10"/>
  <c r="G13" i="9"/>
  <c r="G10" i="10" s="1"/>
  <c r="G23" i="7"/>
  <c r="G29" i="7" s="1"/>
  <c r="G46" i="7" s="1"/>
  <c r="U12" i="7"/>
  <c r="U13" i="7"/>
  <c r="U10" i="7"/>
  <c r="B26" i="9"/>
  <c r="B29" i="7"/>
  <c r="R21" i="9"/>
  <c r="E26" i="9"/>
  <c r="E29" i="7"/>
  <c r="P4" i="4"/>
  <c r="S42" i="9"/>
  <c r="R47" i="9"/>
  <c r="F10" i="10"/>
  <c r="S8" i="9"/>
  <c r="J32" i="4"/>
  <c r="Q28" i="4"/>
  <c r="D17" i="11"/>
  <c r="S40" i="9"/>
  <c r="S36" i="9"/>
  <c r="J10" i="10"/>
  <c r="Q14" i="10"/>
  <c r="R32" i="4" s="1"/>
  <c r="U11" i="7"/>
  <c r="O16" i="7"/>
  <c r="S27" i="9"/>
  <c r="Q9" i="9"/>
  <c r="Q5" i="6"/>
  <c r="P19" i="9"/>
  <c r="P18" i="7"/>
  <c r="O18" i="9"/>
  <c r="U15" i="7"/>
  <c r="Q26" i="4"/>
  <c r="Q27" i="4" s="1"/>
  <c r="P5" i="10"/>
  <c r="C10" i="10"/>
  <c r="J29" i="7"/>
  <c r="J26" i="9"/>
  <c r="S44" i="7"/>
  <c r="S35" i="9"/>
  <c r="P5" i="4"/>
  <c r="S20" i="9"/>
  <c r="S19" i="9"/>
  <c r="G21" i="9"/>
  <c r="S31" i="9"/>
  <c r="E10" i="10"/>
  <c r="R12" i="4"/>
  <c r="S21" i="9"/>
  <c r="S29" i="9"/>
  <c r="C29" i="7"/>
  <c r="C46" i="7" s="1"/>
  <c r="C26" i="9"/>
  <c r="P20" i="9"/>
  <c r="R10" i="4"/>
  <c r="C14" i="10"/>
  <c r="C21" i="9"/>
  <c r="Q4" i="10"/>
  <c r="Q6" i="10"/>
  <c r="W5" i="3"/>
  <c r="Q3" i="10"/>
  <c r="R25" i="4" s="1"/>
  <c r="Q5" i="9"/>
  <c r="R2" i="4" s="1"/>
  <c r="W3" i="3"/>
  <c r="D14" i="10"/>
  <c r="Q16" i="10"/>
  <c r="R34" i="4" s="1"/>
  <c r="S45" i="9"/>
  <c r="E14" i="9"/>
  <c r="E59" i="9" s="1"/>
  <c r="I13" i="9"/>
  <c r="K9" i="6"/>
  <c r="K14" i="9" s="1"/>
  <c r="K59" i="9" s="1"/>
  <c r="I23" i="7"/>
  <c r="I11" i="10"/>
  <c r="I9" i="10"/>
  <c r="U8" i="6"/>
  <c r="U27" i="7"/>
  <c r="U25" i="7"/>
  <c r="U37" i="7"/>
  <c r="U34" i="7"/>
  <c r="U35" i="7"/>
  <c r="U39" i="7"/>
  <c r="U21" i="7"/>
  <c r="U28" i="7"/>
  <c r="U43" i="7"/>
  <c r="O13" i="9"/>
  <c r="U12" i="9" s="1"/>
  <c r="U32" i="7"/>
  <c r="U42" i="7"/>
  <c r="O11" i="10"/>
  <c r="P31" i="4" s="1"/>
  <c r="U38" i="7"/>
  <c r="O9" i="10"/>
  <c r="P29" i="4" s="1"/>
  <c r="U5" i="7"/>
  <c r="U36" i="7"/>
  <c r="U41" i="7"/>
  <c r="U24" i="7"/>
  <c r="U40" i="7"/>
  <c r="U22" i="7"/>
  <c r="U26" i="7"/>
  <c r="U33" i="7"/>
  <c r="U44" i="7"/>
  <c r="U4" i="7"/>
  <c r="F29" i="7"/>
  <c r="F26" i="9"/>
  <c r="I14" i="10"/>
  <c r="I21" i="9"/>
  <c r="P6" i="6"/>
  <c r="P10" i="9"/>
  <c r="P7" i="6"/>
  <c r="V5" i="6"/>
  <c r="V3" i="6"/>
  <c r="S4" i="3"/>
  <c r="R4" i="9"/>
  <c r="R4" i="6"/>
  <c r="R5" i="3"/>
  <c r="R14" i="10" s="1"/>
  <c r="S32" i="4" s="1"/>
  <c r="H21" i="9" l="1"/>
  <c r="F14" i="10"/>
  <c r="K14" i="10"/>
  <c r="D46" i="7"/>
  <c r="D17" i="10" s="1"/>
  <c r="E14" i="10"/>
  <c r="U17" i="7"/>
  <c r="J14" i="10"/>
  <c r="B14" i="10"/>
  <c r="J46" i="7"/>
  <c r="J17" i="10" s="1"/>
  <c r="M18" i="7"/>
  <c r="M20" i="9"/>
  <c r="E46" i="7"/>
  <c r="E49" i="9" s="1"/>
  <c r="H46" i="7"/>
  <c r="H49" i="9" s="1"/>
  <c r="L32" i="9"/>
  <c r="L46" i="7"/>
  <c r="L17" i="10" s="1"/>
  <c r="L21" i="9"/>
  <c r="B46" i="7"/>
  <c r="B17" i="10" s="1"/>
  <c r="H15" i="10"/>
  <c r="M15" i="10"/>
  <c r="M32" i="9"/>
  <c r="K32" i="9"/>
  <c r="K15" i="10"/>
  <c r="O9" i="6"/>
  <c r="U9" i="6" s="1"/>
  <c r="K46" i="7"/>
  <c r="K17" i="10" s="1"/>
  <c r="O23" i="7"/>
  <c r="O26" i="9" s="1"/>
  <c r="U26" i="9" s="1"/>
  <c r="U18" i="9"/>
  <c r="G26" i="9"/>
  <c r="P8" i="6"/>
  <c r="P9" i="6" s="1"/>
  <c r="R16" i="10"/>
  <c r="S34" i="4" s="1"/>
  <c r="U11" i="9"/>
  <c r="B32" i="9"/>
  <c r="B15" i="10"/>
  <c r="J49" i="9"/>
  <c r="G17" i="10"/>
  <c r="G49" i="9"/>
  <c r="T10" i="4"/>
  <c r="Q6" i="6"/>
  <c r="W5" i="6"/>
  <c r="Q10" i="9"/>
  <c r="Q7" i="6"/>
  <c r="W3" i="6"/>
  <c r="O19" i="9"/>
  <c r="U19" i="9" s="1"/>
  <c r="U16" i="7"/>
  <c r="S4" i="6"/>
  <c r="S4" i="9"/>
  <c r="S5" i="3"/>
  <c r="Y4" i="3" s="1"/>
  <c r="F15" i="10"/>
  <c r="F32" i="9"/>
  <c r="P21" i="9"/>
  <c r="P14" i="10"/>
  <c r="Q32" i="4" s="1"/>
  <c r="R4" i="10"/>
  <c r="R5" i="9"/>
  <c r="S2" i="4" s="1"/>
  <c r="X5" i="3"/>
  <c r="R6" i="10"/>
  <c r="R3" i="10"/>
  <c r="S25" i="4" s="1"/>
  <c r="X3" i="3"/>
  <c r="X4" i="3"/>
  <c r="P12" i="9"/>
  <c r="V7" i="6"/>
  <c r="I29" i="7"/>
  <c r="I26" i="9"/>
  <c r="K32" i="4"/>
  <c r="R28" i="4"/>
  <c r="E17" i="11"/>
  <c r="C15" i="10"/>
  <c r="C32" i="9"/>
  <c r="W4" i="6"/>
  <c r="S12" i="4"/>
  <c r="H17" i="10"/>
  <c r="S10" i="4"/>
  <c r="R9" i="9"/>
  <c r="R5" i="6"/>
  <c r="X4" i="6" s="1"/>
  <c r="Q3" i="4"/>
  <c r="U24" i="9"/>
  <c r="P6" i="4"/>
  <c r="U28" i="9"/>
  <c r="U39" i="9"/>
  <c r="U13" i="9"/>
  <c r="U44" i="9"/>
  <c r="P30" i="4"/>
  <c r="U43" i="9"/>
  <c r="U46" i="9"/>
  <c r="U38" i="9"/>
  <c r="U50" i="9"/>
  <c r="U25" i="9"/>
  <c r="O10" i="10"/>
  <c r="U30" i="9"/>
  <c r="U52" i="9"/>
  <c r="U37" i="9"/>
  <c r="U41" i="9"/>
  <c r="U27" i="9"/>
  <c r="U42" i="9"/>
  <c r="U47" i="9"/>
  <c r="U29" i="9"/>
  <c r="U31" i="9"/>
  <c r="U35" i="9"/>
  <c r="U36" i="9"/>
  <c r="U40" i="9"/>
  <c r="U45" i="9"/>
  <c r="U8" i="9"/>
  <c r="U9" i="9"/>
  <c r="U10" i="9"/>
  <c r="R26" i="4"/>
  <c r="R27" i="4" s="1"/>
  <c r="Q5" i="10"/>
  <c r="O18" i="7"/>
  <c r="U20" i="9"/>
  <c r="F46" i="7"/>
  <c r="P11" i="9"/>
  <c r="V6" i="6"/>
  <c r="I10" i="10"/>
  <c r="C17" i="10"/>
  <c r="C49" i="9"/>
  <c r="S47" i="9"/>
  <c r="J15" i="10"/>
  <c r="J32" i="9"/>
  <c r="G32" i="9"/>
  <c r="G15" i="10"/>
  <c r="E32" i="9"/>
  <c r="E15" i="10"/>
  <c r="D49" i="9" l="1"/>
  <c r="D60" i="9" s="1"/>
  <c r="D61" i="9" s="1"/>
  <c r="E17" i="10"/>
  <c r="M14" i="10"/>
  <c r="M21" i="9"/>
  <c r="M46" i="7"/>
  <c r="M17" i="10" s="1"/>
  <c r="L49" i="9"/>
  <c r="L60" i="9" s="1"/>
  <c r="L61" i="9" s="1"/>
  <c r="B49" i="9"/>
  <c r="B60" i="9" s="1"/>
  <c r="B61" i="9" s="1"/>
  <c r="B62" i="9" s="1"/>
  <c r="O29" i="7"/>
  <c r="O15" i="10" s="1"/>
  <c r="P33" i="4" s="1"/>
  <c r="O14" i="9"/>
  <c r="U14" i="9" s="1"/>
  <c r="V34" i="7"/>
  <c r="K49" i="9"/>
  <c r="K60" i="9" s="1"/>
  <c r="K61" i="9" s="1"/>
  <c r="U23" i="7"/>
  <c r="V11" i="7"/>
  <c r="V6" i="7"/>
  <c r="V28" i="7"/>
  <c r="V21" i="7"/>
  <c r="V12" i="7"/>
  <c r="V39" i="7"/>
  <c r="V32" i="7"/>
  <c r="P9" i="10"/>
  <c r="Q29" i="4" s="1"/>
  <c r="V40" i="7"/>
  <c r="V7" i="7"/>
  <c r="V22" i="7"/>
  <c r="V38" i="7"/>
  <c r="V27" i="7"/>
  <c r="V18" i="7"/>
  <c r="V16" i="7"/>
  <c r="V10" i="7"/>
  <c r="V37" i="7"/>
  <c r="V35" i="7"/>
  <c r="P11" i="10"/>
  <c r="Q31" i="4" s="1"/>
  <c r="V8" i="6"/>
  <c r="V13" i="7"/>
  <c r="V15" i="7"/>
  <c r="V26" i="7"/>
  <c r="V4" i="7"/>
  <c r="V5" i="7"/>
  <c r="V36" i="7"/>
  <c r="P13" i="9"/>
  <c r="V20" i="9" s="1"/>
  <c r="Q8" i="6"/>
  <c r="W34" i="7" s="1"/>
  <c r="V17" i="7"/>
  <c r="V44" i="7"/>
  <c r="V24" i="7"/>
  <c r="V42" i="7"/>
  <c r="V33" i="7"/>
  <c r="V25" i="7"/>
  <c r="V41" i="7"/>
  <c r="V43" i="7"/>
  <c r="S16" i="10"/>
  <c r="T34" i="4" s="1"/>
  <c r="Q4" i="4"/>
  <c r="H60" i="9"/>
  <c r="H61" i="9" s="1"/>
  <c r="H51" i="9"/>
  <c r="Q5" i="4"/>
  <c r="L32" i="4"/>
  <c r="F17" i="11"/>
  <c r="S28" i="4"/>
  <c r="F49" i="9"/>
  <c r="F17" i="10"/>
  <c r="R3" i="4"/>
  <c r="E60" i="9"/>
  <c r="E61" i="9" s="1"/>
  <c r="E51" i="9"/>
  <c r="P14" i="9"/>
  <c r="P23" i="7"/>
  <c r="V9" i="6"/>
  <c r="T12" i="4"/>
  <c r="I15" i="10"/>
  <c r="I32" i="9"/>
  <c r="I46" i="7"/>
  <c r="S9" i="9"/>
  <c r="S5" i="6"/>
  <c r="Y4" i="6" s="1"/>
  <c r="J60" i="9"/>
  <c r="J61" i="9" s="1"/>
  <c r="J51" i="9"/>
  <c r="C60" i="9"/>
  <c r="C61" i="9" s="1"/>
  <c r="C51" i="9"/>
  <c r="U18" i="7"/>
  <c r="O21" i="9"/>
  <c r="O14" i="10"/>
  <c r="P32" i="4" s="1"/>
  <c r="R6" i="6"/>
  <c r="X5" i="6"/>
  <c r="R10" i="9"/>
  <c r="R7" i="6"/>
  <c r="X3" i="6"/>
  <c r="S26" i="4"/>
  <c r="S27" i="4" s="1"/>
  <c r="R5" i="10"/>
  <c r="Q10" i="4"/>
  <c r="Y5" i="3"/>
  <c r="S6" i="10"/>
  <c r="S3" i="10"/>
  <c r="T25" i="4" s="1"/>
  <c r="S5" i="9"/>
  <c r="T2" i="4" s="1"/>
  <c r="S4" i="10"/>
  <c r="Y3" i="3"/>
  <c r="S14" i="10"/>
  <c r="T32" i="4" s="1"/>
  <c r="W7" i="6"/>
  <c r="Q12" i="9"/>
  <c r="W6" i="6"/>
  <c r="Q11" i="9"/>
  <c r="G60" i="9"/>
  <c r="G61" i="9" s="1"/>
  <c r="G51" i="9"/>
  <c r="D51" i="9" l="1"/>
  <c r="D20" i="10" s="1"/>
  <c r="V30" i="9"/>
  <c r="V11" i="9"/>
  <c r="M49" i="9"/>
  <c r="M60" i="9" s="1"/>
  <c r="M61" i="9" s="1"/>
  <c r="L51" i="9"/>
  <c r="L20" i="10" s="1"/>
  <c r="K51" i="9"/>
  <c r="K54" i="9" s="1"/>
  <c r="U29" i="7"/>
  <c r="O46" i="7"/>
  <c r="O17" i="10" s="1"/>
  <c r="P35" i="4" s="1"/>
  <c r="O32" i="9"/>
  <c r="U32" i="9" s="1"/>
  <c r="B51" i="9"/>
  <c r="B20" i="10" s="1"/>
  <c r="W33" i="7"/>
  <c r="W38" i="7"/>
  <c r="W26" i="7"/>
  <c r="W5" i="7"/>
  <c r="W28" i="7"/>
  <c r="W41" i="7"/>
  <c r="W7" i="7"/>
  <c r="Q13" i="9"/>
  <c r="W10" i="9" s="1"/>
  <c r="W12" i="7"/>
  <c r="W36" i="7"/>
  <c r="W35" i="7"/>
  <c r="W44" i="7"/>
  <c r="W24" i="7"/>
  <c r="W8" i="6"/>
  <c r="Q11" i="10"/>
  <c r="R31" i="4" s="1"/>
  <c r="O59" i="9"/>
  <c r="P7" i="4"/>
  <c r="W18" i="7"/>
  <c r="W32" i="7"/>
  <c r="W13" i="7"/>
  <c r="W10" i="7"/>
  <c r="Q9" i="10"/>
  <c r="R29" i="4" s="1"/>
  <c r="W6" i="7"/>
  <c r="V31" i="9"/>
  <c r="V41" i="9"/>
  <c r="V40" i="9"/>
  <c r="V28" i="9"/>
  <c r="W39" i="7"/>
  <c r="W42" i="7"/>
  <c r="W21" i="7"/>
  <c r="W40" i="7"/>
  <c r="W15" i="7"/>
  <c r="W4" i="7"/>
  <c r="W27" i="7"/>
  <c r="V21" i="9"/>
  <c r="V36" i="9"/>
  <c r="Q30" i="4"/>
  <c r="V9" i="9"/>
  <c r="V29" i="9"/>
  <c r="V42" i="9"/>
  <c r="V43" i="9"/>
  <c r="V44" i="9"/>
  <c r="V10" i="9"/>
  <c r="V18" i="9"/>
  <c r="V27" i="9"/>
  <c r="V24" i="9"/>
  <c r="V52" i="9"/>
  <c r="V46" i="9"/>
  <c r="Q6" i="4"/>
  <c r="V19" i="9"/>
  <c r="V47" i="9"/>
  <c r="V45" i="9"/>
  <c r="V8" i="9"/>
  <c r="V25" i="9"/>
  <c r="V39" i="9"/>
  <c r="V38" i="9"/>
  <c r="P10" i="10"/>
  <c r="V12" i="9"/>
  <c r="V50" i="9"/>
  <c r="V13" i="9"/>
  <c r="V35" i="9"/>
  <c r="V37" i="9"/>
  <c r="W17" i="7"/>
  <c r="W37" i="7"/>
  <c r="W16" i="7"/>
  <c r="W11" i="7"/>
  <c r="W22" i="7"/>
  <c r="W43" i="7"/>
  <c r="W25" i="7"/>
  <c r="Q9" i="6"/>
  <c r="W9" i="6" s="1"/>
  <c r="G54" i="9"/>
  <c r="G20" i="10"/>
  <c r="T26" i="4"/>
  <c r="T27" i="4" s="1"/>
  <c r="S5" i="10"/>
  <c r="S3" i="4"/>
  <c r="U21" i="9"/>
  <c r="P10" i="4"/>
  <c r="C20" i="10"/>
  <c r="C54" i="9"/>
  <c r="P59" i="9"/>
  <c r="V14" i="9"/>
  <c r="Q7" i="4"/>
  <c r="W13" i="9"/>
  <c r="W8" i="9"/>
  <c r="R4" i="4"/>
  <c r="R12" i="9"/>
  <c r="X7" i="6"/>
  <c r="X6" i="6"/>
  <c r="R11" i="9"/>
  <c r="I49" i="9"/>
  <c r="I17" i="10"/>
  <c r="E54" i="9"/>
  <c r="E20" i="10"/>
  <c r="M32" i="4"/>
  <c r="G17" i="11"/>
  <c r="T28" i="4"/>
  <c r="R8" i="6"/>
  <c r="J54" i="9"/>
  <c r="J20" i="10"/>
  <c r="S10" i="9"/>
  <c r="S7" i="6"/>
  <c r="S6" i="6"/>
  <c r="Y5" i="6"/>
  <c r="Y3" i="6"/>
  <c r="H54" i="9"/>
  <c r="H20" i="10"/>
  <c r="C62" i="9"/>
  <c r="D62" i="9" s="1"/>
  <c r="E62" i="9" s="1"/>
  <c r="R5" i="4"/>
  <c r="W12" i="9"/>
  <c r="V23" i="7"/>
  <c r="P26" i="9"/>
  <c r="V26" i="9" s="1"/>
  <c r="P29" i="7"/>
  <c r="F60" i="9"/>
  <c r="F61" i="9" s="1"/>
  <c r="F51" i="9"/>
  <c r="D54" i="9" l="1"/>
  <c r="M51" i="9"/>
  <c r="M54" i="9" s="1"/>
  <c r="W47" i="9"/>
  <c r="W28" i="9"/>
  <c r="W29" i="9"/>
  <c r="W39" i="9"/>
  <c r="W31" i="9"/>
  <c r="Q10" i="10"/>
  <c r="L54" i="9"/>
  <c r="K20" i="10"/>
  <c r="U46" i="7"/>
  <c r="O49" i="9"/>
  <c r="U49" i="9" s="1"/>
  <c r="P11" i="4"/>
  <c r="B54" i="9"/>
  <c r="W11" i="9"/>
  <c r="W42" i="9"/>
  <c r="W20" i="9"/>
  <c r="W24" i="9"/>
  <c r="W37" i="9"/>
  <c r="W30" i="9"/>
  <c r="W18" i="9"/>
  <c r="W38" i="9"/>
  <c r="W9" i="9"/>
  <c r="W40" i="9"/>
  <c r="W19" i="9"/>
  <c r="W35" i="9"/>
  <c r="W46" i="9"/>
  <c r="R30" i="4"/>
  <c r="W50" i="9"/>
  <c r="W52" i="9"/>
  <c r="R6" i="4"/>
  <c r="W21" i="9"/>
  <c r="W36" i="9"/>
  <c r="W45" i="9"/>
  <c r="W27" i="9"/>
  <c r="W25" i="9"/>
  <c r="W44" i="9"/>
  <c r="W43" i="9"/>
  <c r="W41" i="9"/>
  <c r="M20" i="10"/>
  <c r="Q23" i="7"/>
  <c r="Q29" i="7" s="1"/>
  <c r="Q14" i="9"/>
  <c r="Q59" i="9" s="1"/>
  <c r="Y6" i="6"/>
  <c r="S11" i="9"/>
  <c r="P15" i="10"/>
  <c r="Q33" i="4" s="1"/>
  <c r="V29" i="7"/>
  <c r="P32" i="9"/>
  <c r="P46" i="7"/>
  <c r="S12" i="9"/>
  <c r="Y7" i="6"/>
  <c r="X35" i="7"/>
  <c r="X27" i="7"/>
  <c r="X40" i="7"/>
  <c r="R9" i="6"/>
  <c r="X41" i="7"/>
  <c r="R9" i="10"/>
  <c r="S29" i="4" s="1"/>
  <c r="R11" i="10"/>
  <c r="S31" i="4" s="1"/>
  <c r="X34" i="7"/>
  <c r="X8" i="6"/>
  <c r="R13" i="9"/>
  <c r="X38" i="7"/>
  <c r="X5" i="7"/>
  <c r="X10" i="7"/>
  <c r="X25" i="7"/>
  <c r="X22" i="7"/>
  <c r="X36" i="7"/>
  <c r="X43" i="7"/>
  <c r="X4" i="7"/>
  <c r="X12" i="7"/>
  <c r="X6" i="7"/>
  <c r="X21" i="7"/>
  <c r="X13" i="7"/>
  <c r="X11" i="7"/>
  <c r="X7" i="7"/>
  <c r="X15" i="7"/>
  <c r="X32" i="7"/>
  <c r="X33" i="7"/>
  <c r="X37" i="7"/>
  <c r="X39" i="7"/>
  <c r="X26" i="7"/>
  <c r="X17" i="7"/>
  <c r="X42" i="7"/>
  <c r="X16" i="7"/>
  <c r="X28" i="7"/>
  <c r="X24" i="7"/>
  <c r="X18" i="7"/>
  <c r="X44" i="7"/>
  <c r="I60" i="9"/>
  <c r="I61" i="9" s="1"/>
  <c r="I51" i="9"/>
  <c r="S5" i="4"/>
  <c r="S8" i="6"/>
  <c r="T3" i="4"/>
  <c r="S4" i="4"/>
  <c r="F20" i="10"/>
  <c r="F54" i="9"/>
  <c r="F62" i="9"/>
  <c r="G62" i="9" s="1"/>
  <c r="H62" i="9" s="1"/>
  <c r="P13" i="4" l="1"/>
  <c r="O60" i="9"/>
  <c r="O61" i="9" s="1"/>
  <c r="O62" i="9" s="1"/>
  <c r="O51" i="9"/>
  <c r="U51" i="9" s="1"/>
  <c r="Q26" i="9"/>
  <c r="W26" i="9" s="1"/>
  <c r="W23" i="7"/>
  <c r="R7" i="4"/>
  <c r="W14" i="9"/>
  <c r="Q32" i="9"/>
  <c r="W29" i="7"/>
  <c r="Q15" i="10"/>
  <c r="R33" i="4" s="1"/>
  <c r="Q46" i="7"/>
  <c r="T5" i="4"/>
  <c r="Y40" i="7"/>
  <c r="Y35" i="7"/>
  <c r="Y8" i="6"/>
  <c r="S9" i="10"/>
  <c r="T29" i="4" s="1"/>
  <c r="Y41" i="7"/>
  <c r="Y34" i="7"/>
  <c r="S9" i="6"/>
  <c r="Y27" i="7"/>
  <c r="S13" i="9"/>
  <c r="Y11" i="9" s="1"/>
  <c r="Y5" i="7"/>
  <c r="S11" i="10"/>
  <c r="T31" i="4" s="1"/>
  <c r="Y38" i="7"/>
  <c r="Y43" i="7"/>
  <c r="Y10" i="7"/>
  <c r="Y36" i="7"/>
  <c r="Y25" i="7"/>
  <c r="Y4" i="7"/>
  <c r="Y22" i="7"/>
  <c r="Y11" i="7"/>
  <c r="Y6" i="7"/>
  <c r="Y15" i="7"/>
  <c r="Y21" i="7"/>
  <c r="Y12" i="7"/>
  <c r="Y28" i="7"/>
  <c r="Y42" i="7"/>
  <c r="Y32" i="7"/>
  <c r="Y39" i="7"/>
  <c r="Y37" i="7"/>
  <c r="Y26" i="7"/>
  <c r="Y7" i="7"/>
  <c r="Y13" i="7"/>
  <c r="Y24" i="7"/>
  <c r="Y17" i="7"/>
  <c r="Y33" i="7"/>
  <c r="Y18" i="7"/>
  <c r="Y16" i="7"/>
  <c r="Y44" i="7"/>
  <c r="X44" i="9"/>
  <c r="X50" i="9"/>
  <c r="X30" i="9"/>
  <c r="X38" i="9"/>
  <c r="X13" i="9"/>
  <c r="R10" i="10"/>
  <c r="X37" i="9"/>
  <c r="X43" i="9"/>
  <c r="X41" i="9"/>
  <c r="S6" i="4"/>
  <c r="X52" i="9"/>
  <c r="S30" i="4"/>
  <c r="X25" i="9"/>
  <c r="X46" i="9"/>
  <c r="X39" i="9"/>
  <c r="X28" i="9"/>
  <c r="X18" i="9"/>
  <c r="X24" i="9"/>
  <c r="X20" i="9"/>
  <c r="X45" i="9"/>
  <c r="X27" i="9"/>
  <c r="X19" i="9"/>
  <c r="X40" i="9"/>
  <c r="X36" i="9"/>
  <c r="X8" i="9"/>
  <c r="X31" i="9"/>
  <c r="X35" i="9"/>
  <c r="X42" i="9"/>
  <c r="X29" i="9"/>
  <c r="X47" i="9"/>
  <c r="X21" i="9"/>
  <c r="X9" i="9"/>
  <c r="X10" i="9"/>
  <c r="P49" i="9"/>
  <c r="V46" i="7"/>
  <c r="P17" i="10"/>
  <c r="Q35" i="4" s="1"/>
  <c r="T4" i="4"/>
  <c r="I62" i="9"/>
  <c r="J62" i="9" s="1"/>
  <c r="K62" i="9" s="1"/>
  <c r="L62" i="9" s="1"/>
  <c r="M62" i="9" s="1"/>
  <c r="X9" i="6"/>
  <c r="R14" i="9"/>
  <c r="R23" i="7"/>
  <c r="I54" i="9"/>
  <c r="I20" i="10"/>
  <c r="X11" i="9"/>
  <c r="X12" i="9"/>
  <c r="V32" i="9"/>
  <c r="Q11" i="4"/>
  <c r="P22" i="4" l="1"/>
  <c r="O20" i="10"/>
  <c r="P36" i="4" s="1"/>
  <c r="P15" i="4"/>
  <c r="O53" i="9"/>
  <c r="O54" i="9" s="1"/>
  <c r="P20" i="4" s="1"/>
  <c r="Y37" i="9"/>
  <c r="Y43" i="9"/>
  <c r="Y41" i="9"/>
  <c r="Y44" i="9"/>
  <c r="T6" i="4"/>
  <c r="Y13" i="9"/>
  <c r="S10" i="10"/>
  <c r="Y30" i="9"/>
  <c r="Y52" i="9"/>
  <c r="T30" i="4"/>
  <c r="Y50" i="9"/>
  <c r="Y38" i="9"/>
  <c r="Y46" i="9"/>
  <c r="Y39" i="9"/>
  <c r="Y25" i="9"/>
  <c r="Y28" i="9"/>
  <c r="Y24" i="9"/>
  <c r="Y18" i="9"/>
  <c r="Y8" i="9"/>
  <c r="Y40" i="9"/>
  <c r="Y29" i="9"/>
  <c r="Y42" i="9"/>
  <c r="Y31" i="9"/>
  <c r="Y20" i="9"/>
  <c r="Y21" i="9"/>
  <c r="Y19" i="9"/>
  <c r="Y45" i="9"/>
  <c r="Y36" i="9"/>
  <c r="Y35" i="9"/>
  <c r="Y27" i="9"/>
  <c r="Y47" i="9"/>
  <c r="Y9" i="9"/>
  <c r="Y10" i="9"/>
  <c r="P23" i="4"/>
  <c r="S14" i="9"/>
  <c r="Y9" i="6"/>
  <c r="S23" i="7"/>
  <c r="S7" i="4"/>
  <c r="X14" i="9"/>
  <c r="R59" i="9"/>
  <c r="Q13" i="4"/>
  <c r="V49" i="9"/>
  <c r="P60" i="9"/>
  <c r="P61" i="9" s="1"/>
  <c r="Q22" i="4" s="1"/>
  <c r="P51" i="9"/>
  <c r="W46" i="7"/>
  <c r="Q49" i="9"/>
  <c r="Q17" i="10"/>
  <c r="R35" i="4" s="1"/>
  <c r="Y12" i="9"/>
  <c r="R26" i="9"/>
  <c r="X26" i="9" s="1"/>
  <c r="X23" i="7"/>
  <c r="R29" i="7"/>
  <c r="W32" i="9"/>
  <c r="R11" i="4"/>
  <c r="U54" i="9" l="1"/>
  <c r="U53" i="9"/>
  <c r="P18" i="4"/>
  <c r="P62" i="9"/>
  <c r="R13" i="4"/>
  <c r="Q60" i="9"/>
  <c r="Q61" i="9" s="1"/>
  <c r="R22" i="4" s="1"/>
  <c r="W49" i="9"/>
  <c r="Q51" i="9"/>
  <c r="R32" i="9"/>
  <c r="X29" i="7"/>
  <c r="R15" i="10"/>
  <c r="S33" i="4" s="1"/>
  <c r="R46" i="7"/>
  <c r="S59" i="9"/>
  <c r="T7" i="4"/>
  <c r="Y14" i="9"/>
  <c r="S26" i="9"/>
  <c r="Y26" i="9" s="1"/>
  <c r="Y23" i="7"/>
  <c r="S29" i="7"/>
  <c r="P20" i="10"/>
  <c r="Q36" i="4" s="1"/>
  <c r="P53" i="9"/>
  <c r="Q15" i="4"/>
  <c r="V51" i="9"/>
  <c r="S32" i="9" l="1"/>
  <c r="Y29" i="7"/>
  <c r="S15" i="10"/>
  <c r="T33" i="4" s="1"/>
  <c r="S46" i="7"/>
  <c r="V53" i="9"/>
  <c r="Q18" i="4"/>
  <c r="X46" i="7"/>
  <c r="R49" i="9"/>
  <c r="R17" i="10"/>
  <c r="S35" i="4" s="1"/>
  <c r="Q62" i="9"/>
  <c r="Q23" i="4"/>
  <c r="X32" i="9"/>
  <c r="S11" i="4"/>
  <c r="P54" i="9"/>
  <c r="R15" i="4"/>
  <c r="Q20" i="10"/>
  <c r="R36" i="4" s="1"/>
  <c r="W51" i="9"/>
  <c r="Q53" i="9"/>
  <c r="Q54" i="9" s="1"/>
  <c r="R20" i="4" l="1"/>
  <c r="W54" i="9"/>
  <c r="V54" i="9"/>
  <c r="Q20" i="4"/>
  <c r="R23" i="4"/>
  <c r="R60" i="9"/>
  <c r="R61" i="9" s="1"/>
  <c r="S22" i="4" s="1"/>
  <c r="S13" i="4"/>
  <c r="X49" i="9"/>
  <c r="R51" i="9"/>
  <c r="T11" i="4"/>
  <c r="Y32" i="9"/>
  <c r="W53" i="9"/>
  <c r="R18" i="4"/>
  <c r="S49" i="9"/>
  <c r="S17" i="10"/>
  <c r="T35" i="4" s="1"/>
  <c r="Y46" i="7"/>
  <c r="R53" i="9" l="1"/>
  <c r="R54" i="9" s="1"/>
  <c r="R20" i="10"/>
  <c r="S36" i="4" s="1"/>
  <c r="X51" i="9"/>
  <c r="S15" i="4"/>
  <c r="R62" i="9"/>
  <c r="S60" i="9"/>
  <c r="S61" i="9" s="1"/>
  <c r="T22" i="4" s="1"/>
  <c r="T13" i="4"/>
  <c r="Y49" i="9"/>
  <c r="S51" i="9"/>
  <c r="S53" i="9" l="1"/>
  <c r="S54" i="9" s="1"/>
  <c r="T15" i="4"/>
  <c r="Y51" i="9"/>
  <c r="S20" i="10"/>
  <c r="T36" i="4" s="1"/>
  <c r="S62" i="9"/>
  <c r="T23" i="4" s="1"/>
  <c r="S23" i="4"/>
  <c r="X54" i="9"/>
  <c r="S20" i="4"/>
  <c r="S18" i="4"/>
  <c r="X53" i="9"/>
  <c r="Y54" i="9" l="1"/>
  <c r="T20" i="4"/>
  <c r="T18" i="4"/>
  <c r="Y53" i="9"/>
</calcChain>
</file>

<file path=xl/sharedStrings.xml><?xml version="1.0" encoding="utf-8"?>
<sst xmlns="http://schemas.openxmlformats.org/spreadsheetml/2006/main" count="444" uniqueCount="220">
  <si>
    <t>Net Revenue</t>
  </si>
  <si>
    <t xml:space="preserve">   Adjustments</t>
  </si>
  <si>
    <t xml:space="preserve">   Rx</t>
  </si>
  <si>
    <t xml:space="preserve">   Eval</t>
  </si>
  <si>
    <t>Mo. 1</t>
  </si>
  <si>
    <t>Mo. 2</t>
  </si>
  <si>
    <t>Mo. 3</t>
  </si>
  <si>
    <t>Mo. 4</t>
  </si>
  <si>
    <t>Mo. 5</t>
  </si>
  <si>
    <t>Mo. 6</t>
  </si>
  <si>
    <t>Mo. 7</t>
  </si>
  <si>
    <t>Mo. 8</t>
  </si>
  <si>
    <t>Mo. 9</t>
  </si>
  <si>
    <t>Mo. 10</t>
  </si>
  <si>
    <t>Mo. 11</t>
  </si>
  <si>
    <t>Mo. 12</t>
  </si>
  <si>
    <t>Eval</t>
  </si>
  <si>
    <t>Total Charges</t>
  </si>
  <si>
    <t>Cash Flow</t>
  </si>
  <si>
    <t>Total Visits</t>
  </si>
  <si>
    <t xml:space="preserve">   Refunds</t>
  </si>
  <si>
    <t>Visits/Day</t>
  </si>
  <si>
    <t>Salary</t>
  </si>
  <si>
    <t>Y1</t>
  </si>
  <si>
    <t>Y1 % Tot</t>
  </si>
  <si>
    <t>Y2</t>
  </si>
  <si>
    <t>Y2 % Tot</t>
  </si>
  <si>
    <t>Y3</t>
  </si>
  <si>
    <t>Y3 % Tot</t>
  </si>
  <si>
    <t>Y4</t>
  </si>
  <si>
    <t>Y4 % Tot</t>
  </si>
  <si>
    <t>Y5</t>
  </si>
  <si>
    <t>Y5 % Tot</t>
  </si>
  <si>
    <t>Volume Growth</t>
  </si>
  <si>
    <t>Variable Expense Growth</t>
  </si>
  <si>
    <t>Facility</t>
  </si>
  <si>
    <t xml:space="preserve">   Professional Supplies</t>
  </si>
  <si>
    <t xml:space="preserve">   Office Supplies</t>
  </si>
  <si>
    <t xml:space="preserve">   Management Services</t>
  </si>
  <si>
    <t>Revenue</t>
  </si>
  <si>
    <t xml:space="preserve">   Credit Card Terminal Fees</t>
  </si>
  <si>
    <t xml:space="preserve">   Housekeeping/Laundry</t>
  </si>
  <si>
    <t xml:space="preserve">   Repairs &amp; Maintenance</t>
  </si>
  <si>
    <t xml:space="preserve">   Shipping &amp; Postage</t>
  </si>
  <si>
    <t xml:space="preserve">   Other Variable</t>
  </si>
  <si>
    <t>Fixed Expense Growth</t>
  </si>
  <si>
    <t xml:space="preserve">   Lease - Facility</t>
  </si>
  <si>
    <t xml:space="preserve">   Lease - Equipment</t>
  </si>
  <si>
    <t xml:space="preserve">   Utilities</t>
  </si>
  <si>
    <t xml:space="preserve">   Marketing &amp; Advertising</t>
  </si>
  <si>
    <t>Staff Expenses</t>
  </si>
  <si>
    <t xml:space="preserve">   Insurance</t>
  </si>
  <si>
    <t xml:space="preserve">   Dues &amp; Subscriptions</t>
  </si>
  <si>
    <t xml:space="preserve">   Meals &amp; Entertainment</t>
  </si>
  <si>
    <t>Expenses</t>
  </si>
  <si>
    <t xml:space="preserve">   Charitable Contributions</t>
  </si>
  <si>
    <t xml:space="preserve">   Staff</t>
  </si>
  <si>
    <t xml:space="preserve">   Bank Fees</t>
  </si>
  <si>
    <t xml:space="preserve">   Variable</t>
  </si>
  <si>
    <t xml:space="preserve">   Fixed</t>
  </si>
  <si>
    <t xml:space="preserve">   Professional Services</t>
  </si>
  <si>
    <t>Total Expenses</t>
  </si>
  <si>
    <t xml:space="preserve">   Education</t>
  </si>
  <si>
    <t xml:space="preserve">   Other Fixed</t>
  </si>
  <si>
    <t>Operating Profit</t>
  </si>
  <si>
    <t>Interest</t>
  </si>
  <si>
    <t>Taxes</t>
  </si>
  <si>
    <t>Management Services</t>
  </si>
  <si>
    <t>Net Income</t>
  </si>
  <si>
    <t>Clinical Operations</t>
  </si>
  <si>
    <t>Net Cash</t>
  </si>
  <si>
    <t>Cash Position</t>
  </si>
  <si>
    <t xml:space="preserve">      V. Salary</t>
  </si>
  <si>
    <t xml:space="preserve">      V. Taxes</t>
  </si>
  <si>
    <t xml:space="preserve">      V. Benefits</t>
  </si>
  <si>
    <t xml:space="preserve">   Subtotal V. Staff</t>
  </si>
  <si>
    <t xml:space="preserve">      F. Salary</t>
  </si>
  <si>
    <t xml:space="preserve">      F. Taxes</t>
  </si>
  <si>
    <t xml:space="preserve">      F. Benefits</t>
  </si>
  <si>
    <t xml:space="preserve">   Subtotal F. Staff</t>
  </si>
  <si>
    <t>Total Staff Salary</t>
  </si>
  <si>
    <t>Total Staff Taxes</t>
  </si>
  <si>
    <t>Total Staff Benefits</t>
  </si>
  <si>
    <t>Total Staff Expenses</t>
  </si>
  <si>
    <t>Variable Expenses</t>
  </si>
  <si>
    <t>Total Variable Expenses</t>
  </si>
  <si>
    <t>Fixed Expenses</t>
  </si>
  <si>
    <t>Total Fixed Expenses</t>
  </si>
  <si>
    <t>Y1 % NR</t>
  </si>
  <si>
    <t>Y2 % NR</t>
  </si>
  <si>
    <t>Y3 % NR</t>
  </si>
  <si>
    <t>Y4 % NR</t>
  </si>
  <si>
    <t>Y5 % NR</t>
  </si>
  <si>
    <t>Y1 % TC</t>
  </si>
  <si>
    <t>Y2 % TC</t>
  </si>
  <si>
    <t>Y3 % TC</t>
  </si>
  <si>
    <t>Y4 % TC</t>
  </si>
  <si>
    <t>Y5 % TC</t>
  </si>
  <si>
    <t>Volume</t>
  </si>
  <si>
    <t>Adjustments</t>
  </si>
  <si>
    <t>Refunds</t>
  </si>
  <si>
    <t>Staff</t>
  </si>
  <si>
    <t>Benefits</t>
  </si>
  <si>
    <t>Total Staff</t>
  </si>
  <si>
    <t>Variable</t>
  </si>
  <si>
    <t>Professional Supplies</t>
  </si>
  <si>
    <t>Office Supplies</t>
  </si>
  <si>
    <t>Credit Card Terminal Fees</t>
  </si>
  <si>
    <t>Housekeeping/Laundry</t>
  </si>
  <si>
    <t>Repairs &amp; Maintenance</t>
  </si>
  <si>
    <t>Shipping &amp; Postage</t>
  </si>
  <si>
    <t>Other Variable</t>
  </si>
  <si>
    <t>Lease - Equipment</t>
  </si>
  <si>
    <t>Utilities</t>
  </si>
  <si>
    <t>Lease - Facility</t>
  </si>
  <si>
    <t>Marketing &amp; Advertising</t>
  </si>
  <si>
    <t>Insurance</t>
  </si>
  <si>
    <t>Dues &amp; Subscriptions</t>
  </si>
  <si>
    <t>Meals &amp; Entertainment</t>
  </si>
  <si>
    <t>Charitable Contributions</t>
  </si>
  <si>
    <t>Bank Fees</t>
  </si>
  <si>
    <t>Loan Payment</t>
  </si>
  <si>
    <t>Professional Services</t>
  </si>
  <si>
    <t>Education</t>
  </si>
  <si>
    <t>Other Fixed</t>
  </si>
  <si>
    <t>Cash Out</t>
  </si>
  <si>
    <t>Operating Cash In</t>
  </si>
  <si>
    <t>Investment Cash In</t>
  </si>
  <si>
    <t>Visits/Office Hour</t>
  </si>
  <si>
    <t>NR/Visit</t>
  </si>
  <si>
    <t>Staff Exp/Visit</t>
  </si>
  <si>
    <t>V. Exp/Visit</t>
  </si>
  <si>
    <t>F. Exp/Visit</t>
  </si>
  <si>
    <t>Total Exp/Visit</t>
  </si>
  <si>
    <t>Op. Profit/Visit</t>
  </si>
  <si>
    <t>Productivity %</t>
  </si>
  <si>
    <t>Operations</t>
  </si>
  <si>
    <t>Profitability</t>
  </si>
  <si>
    <t>Charges</t>
  </si>
  <si>
    <t>Visits/Office Hr.</t>
  </si>
  <si>
    <t>NR/SF (Annual)</t>
  </si>
  <si>
    <t>Op Profit/Visit</t>
  </si>
  <si>
    <t>Visits/Staff/Day</t>
  </si>
  <si>
    <t>NR/Staff/Yr</t>
  </si>
  <si>
    <t>Asst1</t>
  </si>
  <si>
    <t>Asst2</t>
  </si>
  <si>
    <t>Asst3</t>
  </si>
  <si>
    <t>Tech1</t>
  </si>
  <si>
    <t>Tech2</t>
  </si>
  <si>
    <t>Tech3</t>
  </si>
  <si>
    <t>Hourly</t>
  </si>
  <si>
    <t>Monthly</t>
  </si>
  <si>
    <t>Annually</t>
  </si>
  <si>
    <t>Fixed</t>
  </si>
  <si>
    <t>Manager1</t>
  </si>
  <si>
    <t>Manager2</t>
  </si>
  <si>
    <t>Recept1</t>
  </si>
  <si>
    <t>Recept2</t>
  </si>
  <si>
    <t>Recept3</t>
  </si>
  <si>
    <t>Other1</t>
  </si>
  <si>
    <t>Other2</t>
  </si>
  <si>
    <t>Other3</t>
  </si>
  <si>
    <t>Y1 FTE</t>
  </si>
  <si>
    <t>Y2 FTE</t>
  </si>
  <si>
    <t>Y3 FTE</t>
  </si>
  <si>
    <t>Y4 FTE</t>
  </si>
  <si>
    <t>Y5 FTE</t>
  </si>
  <si>
    <t>Manager3</t>
  </si>
  <si>
    <t>NR/Staff/Yr (Annual)</t>
  </si>
  <si>
    <t>Startup Expenses</t>
  </si>
  <si>
    <t>Investment</t>
  </si>
  <si>
    <t>Capital Expenses</t>
  </si>
  <si>
    <t>Expense</t>
  </si>
  <si>
    <t>Total</t>
  </si>
  <si>
    <t>Other</t>
  </si>
  <si>
    <t>Total Startup Expense</t>
  </si>
  <si>
    <t>Rx</t>
  </si>
  <si>
    <t>PT Growth Rate</t>
  </si>
  <si>
    <t>Eval Charge</t>
  </si>
  <si>
    <t>Rx Charge</t>
  </si>
  <si>
    <t>Adjust Rate</t>
  </si>
  <si>
    <t>Refund Rate</t>
  </si>
  <si>
    <t>Variable Labor</t>
  </si>
  <si>
    <t>FTE</t>
  </si>
  <si>
    <t>Month</t>
  </si>
  <si>
    <t>Year</t>
  </si>
  <si>
    <t>Fixed Labor</t>
  </si>
  <si>
    <t>Payroll Tax</t>
  </si>
  <si>
    <t>Payroll Tax Rate (%)</t>
  </si>
  <si>
    <t>Health Ins. Benefit (%)</t>
  </si>
  <si>
    <t>ETO Benefit (%)</t>
  </si>
  <si>
    <t>Retirement Benefit (%)</t>
  </si>
  <si>
    <t>Other Benefits (%)</t>
  </si>
  <si>
    <t>Total Benefits</t>
  </si>
  <si>
    <t>Interest &amp; Taxes</t>
  </si>
  <si>
    <t>Management Rate</t>
  </si>
  <si>
    <t>Trad PT Visits/Eval</t>
  </si>
  <si>
    <t xml:space="preserve">Hours/Rx </t>
  </si>
  <si>
    <t>Productivity</t>
  </si>
  <si>
    <t>Cash Collection Rate</t>
  </si>
  <si>
    <t>Open Hrs/Wk</t>
  </si>
  <si>
    <t>Open Hrs/Yr</t>
  </si>
  <si>
    <t>Open Hrs/Mo</t>
  </si>
  <si>
    <t xml:space="preserve">Clinic Sq. Footage </t>
  </si>
  <si>
    <t>Office</t>
  </si>
  <si>
    <t>PT Equipment</t>
  </si>
  <si>
    <t>Rate (Mo.)</t>
  </si>
  <si>
    <t>Rate (Yr.)</t>
  </si>
  <si>
    <t>Y1 Salary</t>
  </si>
  <si>
    <t>Referrals/wk</t>
  </si>
  <si>
    <t>Y2 Salary</t>
  </si>
  <si>
    <t>Y3 Salary</t>
  </si>
  <si>
    <t>Y4 Salary</t>
  </si>
  <si>
    <t>Y5 Salary</t>
  </si>
  <si>
    <t>PT</t>
  </si>
  <si>
    <t>Total PT</t>
  </si>
  <si>
    <t>PT1</t>
  </si>
  <si>
    <t>PT2</t>
  </si>
  <si>
    <t>PT3</t>
  </si>
  <si>
    <r>
      <rPr>
        <b/>
        <i/>
        <sz val="9"/>
        <color rgb="FFF9423A"/>
        <rFont val="Calibri"/>
        <family val="2"/>
        <scheme val="minor"/>
      </rPr>
      <t xml:space="preserve">Disclaimer: </t>
    </r>
    <r>
      <rPr>
        <i/>
        <sz val="9"/>
        <color theme="1" tint="0.249977111117893"/>
        <rFont val="Calibri"/>
        <family val="2"/>
        <scheme val="minor"/>
      </rPr>
      <t>Net Health makes no representations as to accuracy, completeness, correctness, suitability, fitness or validity of this tool for any specific use. This tool is provided on an as-is basis and it is the user’s sole responsibility to verify any and all information presented herein prior to any use case.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</si>
</sst>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  <numFmt numFmtId="168" formatCode="#,##0.0_);[Red]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i/>
      <sz val="9"/>
      <color rgb="FFF9423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9423A"/>
      </left>
      <right/>
      <top style="thick">
        <color rgb="FFF9423A"/>
      </top>
      <bottom/>
      <diagonal/>
    </border>
    <border>
      <left/>
      <right/>
      <top style="thick">
        <color rgb="FFF9423A"/>
      </top>
      <bottom/>
      <diagonal/>
    </border>
    <border>
      <left/>
      <right style="thick">
        <color rgb="FFF9423A"/>
      </right>
      <top style="thick">
        <color rgb="FFF9423A"/>
      </top>
      <bottom/>
      <diagonal/>
    </border>
    <border>
      <left style="thick">
        <color rgb="FFF9423A"/>
      </left>
      <right/>
      <top/>
      <bottom/>
      <diagonal/>
    </border>
    <border>
      <left/>
      <right style="thick">
        <color rgb="FFF9423A"/>
      </right>
      <top/>
      <bottom/>
      <diagonal/>
    </border>
    <border>
      <left style="thick">
        <color rgb="FFF9423A"/>
      </left>
      <right/>
      <top/>
      <bottom style="thick">
        <color rgb="FFF9423A"/>
      </bottom>
      <diagonal/>
    </border>
    <border>
      <left/>
      <right/>
      <top/>
      <bottom style="thick">
        <color rgb="FFF9423A"/>
      </bottom>
      <diagonal/>
    </border>
    <border>
      <left/>
      <right style="thick">
        <color rgb="FFF9423A"/>
      </right>
      <top/>
      <bottom style="thick">
        <color rgb="FFF9423A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164" fontId="3" fillId="2" borderId="0" xfId="1" applyNumberFormat="1" applyFont="1" applyFill="1"/>
    <xf numFmtId="164" fontId="2" fillId="0" borderId="0" xfId="0" applyNumberFormat="1" applyFont="1"/>
    <xf numFmtId="165" fontId="3" fillId="0" borderId="0" xfId="2" applyNumberFormat="1" applyFont="1"/>
    <xf numFmtId="164" fontId="3" fillId="0" borderId="1" xfId="1" applyNumberFormat="1" applyFont="1" applyBorder="1"/>
    <xf numFmtId="165" fontId="3" fillId="0" borderId="1" xfId="2" applyNumberFormat="1" applyFont="1" applyBorder="1"/>
    <xf numFmtId="164" fontId="3" fillId="0" borderId="0" xfId="1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3" fillId="2" borderId="0" xfId="0" applyFont="1" applyFill="1"/>
    <xf numFmtId="9" fontId="3" fillId="2" borderId="0" xfId="0" applyNumberFormat="1" applyFont="1" applyFill="1"/>
    <xf numFmtId="0" fontId="2" fillId="0" borderId="0" xfId="0" applyFont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0" fontId="3" fillId="0" borderId="2" xfId="0" applyFont="1" applyBorder="1"/>
    <xf numFmtId="164" fontId="3" fillId="0" borderId="0" xfId="1" applyNumberFormat="1" applyFont="1" applyBorder="1"/>
    <xf numFmtId="164" fontId="2" fillId="0" borderId="0" xfId="0" applyNumberFormat="1" applyFont="1" applyBorder="1"/>
    <xf numFmtId="165" fontId="3" fillId="0" borderId="0" xfId="2" applyNumberFormat="1" applyFont="1" applyBorder="1"/>
    <xf numFmtId="164" fontId="3" fillId="0" borderId="0" xfId="0" applyNumberFormat="1" applyFont="1" applyBorder="1"/>
    <xf numFmtId="0" fontId="2" fillId="0" borderId="0" xfId="0" applyFont="1" applyBorder="1"/>
    <xf numFmtId="164" fontId="2" fillId="0" borderId="0" xfId="1" applyNumberFormat="1" applyFont="1" applyBorder="1"/>
    <xf numFmtId="165" fontId="2" fillId="0" borderId="0" xfId="2" applyNumberFormat="1" applyFont="1" applyBorder="1"/>
    <xf numFmtId="0" fontId="3" fillId="0" borderId="0" xfId="0" applyFont="1" applyFill="1"/>
    <xf numFmtId="0" fontId="3" fillId="0" borderId="3" xfId="0" applyFont="1" applyBorder="1"/>
    <xf numFmtId="0" fontId="3" fillId="0" borderId="0" xfId="0" applyNumberFormat="1" applyFont="1"/>
    <xf numFmtId="38" fontId="3" fillId="0" borderId="0" xfId="0" applyNumberFormat="1" applyFont="1" applyFill="1"/>
    <xf numFmtId="38" fontId="2" fillId="0" borderId="1" xfId="0" applyNumberFormat="1" applyFont="1" applyFill="1" applyBorder="1"/>
    <xf numFmtId="38" fontId="2" fillId="0" borderId="1" xfId="1" applyNumberFormat="1" applyFont="1" applyFill="1" applyBorder="1" applyAlignment="1">
      <alignment horizontal="center"/>
    </xf>
    <xf numFmtId="38" fontId="2" fillId="0" borderId="0" xfId="1" applyNumberFormat="1" applyFont="1" applyFill="1"/>
    <xf numFmtId="38" fontId="3" fillId="0" borderId="0" xfId="1" applyNumberFormat="1" applyFont="1" applyFill="1"/>
    <xf numFmtId="38" fontId="3" fillId="0" borderId="1" xfId="0" applyNumberFormat="1" applyFont="1" applyFill="1" applyBorder="1"/>
    <xf numFmtId="38" fontId="3" fillId="0" borderId="1" xfId="1" applyNumberFormat="1" applyFont="1" applyFill="1" applyBorder="1"/>
    <xf numFmtId="38" fontId="3" fillId="0" borderId="3" xfId="0" applyNumberFormat="1" applyFont="1" applyFill="1" applyBorder="1"/>
    <xf numFmtId="38" fontId="3" fillId="0" borderId="3" xfId="1" applyNumberFormat="1" applyFont="1" applyFill="1" applyBorder="1"/>
    <xf numFmtId="38" fontId="3" fillId="0" borderId="0" xfId="0" applyNumberFormat="1" applyFont="1" applyFill="1" applyBorder="1"/>
    <xf numFmtId="38" fontId="3" fillId="0" borderId="0" xfId="1" applyNumberFormat="1" applyFont="1" applyFill="1" applyBorder="1"/>
    <xf numFmtId="38" fontId="2" fillId="0" borderId="0" xfId="1" applyNumberFormat="1" applyFont="1" applyFill="1" applyBorder="1"/>
    <xf numFmtId="38" fontId="2" fillId="0" borderId="0" xfId="0" applyNumberFormat="1" applyFont="1" applyFill="1" applyBorder="1"/>
    <xf numFmtId="9" fontId="3" fillId="0" borderId="0" xfId="2" applyFont="1" applyFill="1"/>
    <xf numFmtId="9" fontId="3" fillId="0" borderId="1" xfId="2" applyFont="1" applyFill="1" applyBorder="1"/>
    <xf numFmtId="9" fontId="3" fillId="0" borderId="3" xfId="2" applyFont="1" applyFill="1" applyBorder="1"/>
    <xf numFmtId="9" fontId="3" fillId="0" borderId="2" xfId="2" applyFont="1" applyFill="1" applyBorder="1"/>
    <xf numFmtId="9" fontId="3" fillId="0" borderId="0" xfId="2" applyFont="1" applyFill="1" applyBorder="1"/>
    <xf numFmtId="9" fontId="2" fillId="0" borderId="0" xfId="2" applyFont="1" applyFill="1" applyBorder="1"/>
    <xf numFmtId="38" fontId="3" fillId="0" borderId="2" xfId="0" applyNumberFormat="1" applyFont="1" applyFill="1" applyBorder="1"/>
    <xf numFmtId="38" fontId="3" fillId="0" borderId="2" xfId="1" applyNumberFormat="1" applyFont="1" applyFill="1" applyBorder="1"/>
    <xf numFmtId="167" fontId="3" fillId="2" borderId="0" xfId="1" applyNumberFormat="1" applyFont="1" applyFill="1"/>
    <xf numFmtId="16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9" fontId="2" fillId="0" borderId="0" xfId="2" applyFont="1"/>
    <xf numFmtId="9" fontId="3" fillId="3" borderId="0" xfId="0" applyNumberFormat="1" applyFont="1" applyFill="1"/>
    <xf numFmtId="9" fontId="3" fillId="4" borderId="0" xfId="0" applyNumberFormat="1" applyFont="1" applyFill="1"/>
    <xf numFmtId="0" fontId="3" fillId="3" borderId="0" xfId="0" applyFont="1" applyFill="1"/>
    <xf numFmtId="9" fontId="3" fillId="4" borderId="0" xfId="2" applyFont="1" applyFill="1"/>
    <xf numFmtId="9" fontId="3" fillId="0" borderId="0" xfId="2" applyFont="1"/>
    <xf numFmtId="1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Fill="1" applyBorder="1"/>
    <xf numFmtId="43" fontId="3" fillId="2" borderId="0" xfId="1" applyFont="1" applyFill="1"/>
    <xf numFmtId="43" fontId="3" fillId="0" borderId="0" xfId="1" applyFont="1"/>
    <xf numFmtId="0" fontId="3" fillId="0" borderId="7" xfId="0" applyFont="1" applyBorder="1"/>
    <xf numFmtId="9" fontId="3" fillId="3" borderId="0" xfId="2" applyFont="1" applyFill="1"/>
    <xf numFmtId="9" fontId="3" fillId="2" borderId="0" xfId="2" applyNumberFormat="1" applyFont="1" applyFill="1"/>
    <xf numFmtId="9" fontId="3" fillId="0" borderId="0" xfId="2" applyNumberFormat="1" applyFont="1" applyFill="1"/>
    <xf numFmtId="0" fontId="3" fillId="0" borderId="8" xfId="0" applyFont="1" applyBorder="1"/>
    <xf numFmtId="164" fontId="3" fillId="0" borderId="2" xfId="1" applyNumberFormat="1" applyFont="1" applyBorder="1"/>
    <xf numFmtId="43" fontId="3" fillId="2" borderId="0" xfId="1" applyNumberFormat="1" applyFont="1" applyFill="1"/>
    <xf numFmtId="43" fontId="3" fillId="4" borderId="0" xfId="1" applyNumberFormat="1" applyFont="1" applyFill="1"/>
    <xf numFmtId="9" fontId="3" fillId="0" borderId="0" xfId="0" applyNumberFormat="1" applyFont="1"/>
    <xf numFmtId="9" fontId="2" fillId="0" borderId="1" xfId="2" applyFont="1" applyBorder="1" applyAlignment="1">
      <alignment horizontal="center"/>
    </xf>
    <xf numFmtId="9" fontId="4" fillId="0" borderId="0" xfId="2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167" fontId="3" fillId="0" borderId="0" xfId="0" applyNumberFormat="1" applyFont="1" applyFill="1"/>
    <xf numFmtId="0" fontId="3" fillId="0" borderId="0" xfId="0" applyFont="1" applyFill="1" applyBorder="1"/>
    <xf numFmtId="164" fontId="2" fillId="0" borderId="0" xfId="1" applyNumberFormat="1" applyFont="1" applyFill="1" applyBorder="1"/>
    <xf numFmtId="165" fontId="3" fillId="0" borderId="0" xfId="2" applyNumberFormat="1" applyFont="1" applyFill="1"/>
    <xf numFmtId="9" fontId="3" fillId="0" borderId="1" xfId="2" applyFont="1" applyBorder="1"/>
    <xf numFmtId="164" fontId="3" fillId="2" borderId="1" xfId="1" applyNumberFormat="1" applyFont="1" applyFill="1" applyBorder="1"/>
    <xf numFmtId="164" fontId="3" fillId="0" borderId="2" xfId="1" applyNumberFormat="1" applyFont="1" applyFill="1" applyBorder="1"/>
    <xf numFmtId="9" fontId="3" fillId="0" borderId="2" xfId="2" applyFont="1" applyBorder="1"/>
    <xf numFmtId="0" fontId="3" fillId="0" borderId="0" xfId="0" applyFont="1" applyAlignment="1">
      <alignment horizontal="left" indent="1"/>
    </xf>
    <xf numFmtId="167" fontId="3" fillId="0" borderId="0" xfId="1" applyNumberFormat="1" applyFont="1"/>
    <xf numFmtId="0" fontId="3" fillId="0" borderId="0" xfId="0" applyFont="1" applyAlignment="1">
      <alignment horizontal="left" indent="2"/>
    </xf>
    <xf numFmtId="167" fontId="2" fillId="0" borderId="1" xfId="1" applyNumberFormat="1" applyFont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3" fillId="0" borderId="1" xfId="1" applyNumberFormat="1" applyFont="1" applyBorder="1"/>
    <xf numFmtId="38" fontId="2" fillId="0" borderId="1" xfId="1" applyNumberFormat="1" applyFont="1" applyBorder="1" applyAlignment="1">
      <alignment horizontal="center"/>
    </xf>
    <xf numFmtId="38" fontId="3" fillId="0" borderId="0" xfId="1" applyNumberFormat="1" applyFont="1"/>
    <xf numFmtId="38" fontId="3" fillId="0" borderId="0" xfId="1" applyNumberFormat="1" applyFont="1" applyAlignment="1">
      <alignment horizontal="left" indent="1"/>
    </xf>
    <xf numFmtId="38" fontId="3" fillId="0" borderId="1" xfId="1" applyNumberFormat="1" applyFont="1" applyBorder="1" applyAlignment="1">
      <alignment horizontal="left" indent="1"/>
    </xf>
    <xf numFmtId="38" fontId="3" fillId="0" borderId="1" xfId="1" applyNumberFormat="1" applyFont="1" applyBorder="1"/>
    <xf numFmtId="38" fontId="3" fillId="0" borderId="3" xfId="1" applyNumberFormat="1" applyFont="1" applyBorder="1"/>
    <xf numFmtId="38" fontId="3" fillId="0" borderId="2" xfId="1" applyNumberFormat="1" applyFont="1" applyBorder="1"/>
    <xf numFmtId="38" fontId="3" fillId="0" borderId="0" xfId="1" applyNumberFormat="1" applyFont="1" applyAlignment="1">
      <alignment horizontal="left" indent="2"/>
    </xf>
    <xf numFmtId="38" fontId="3" fillId="0" borderId="1" xfId="1" applyNumberFormat="1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38" fontId="3" fillId="2" borderId="0" xfId="1" applyNumberFormat="1" applyFont="1" applyFill="1"/>
    <xf numFmtId="9" fontId="3" fillId="0" borderId="3" xfId="2" applyFont="1" applyBorder="1"/>
    <xf numFmtId="0" fontId="2" fillId="0" borderId="1" xfId="1" applyNumberFormat="1" applyFont="1" applyBorder="1" applyAlignment="1">
      <alignment horizontal="center"/>
    </xf>
    <xf numFmtId="0" fontId="3" fillId="0" borderId="0" xfId="1" applyNumberFormat="1" applyFont="1"/>
    <xf numFmtId="0" fontId="3" fillId="0" borderId="0" xfId="1" applyNumberFormat="1" applyFont="1" applyBorder="1" applyAlignment="1">
      <alignment horizontal="left"/>
    </xf>
    <xf numFmtId="167" fontId="3" fillId="0" borderId="0" xfId="1" applyNumberFormat="1" applyFont="1" applyBorder="1" applyAlignment="1">
      <alignment horizontal="left"/>
    </xf>
    <xf numFmtId="167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Alignment="1">
      <alignment horizontal="left" indent="1"/>
    </xf>
    <xf numFmtId="0" fontId="3" fillId="0" borderId="1" xfId="1" applyNumberFormat="1" applyFont="1" applyBorder="1" applyAlignment="1">
      <alignment horizontal="left" indent="1"/>
    </xf>
    <xf numFmtId="168" fontId="3" fillId="0" borderId="0" xfId="1" applyNumberFormat="1" applyFont="1"/>
    <xf numFmtId="165" fontId="3" fillId="0" borderId="0" xfId="0" applyNumberFormat="1" applyFont="1"/>
    <xf numFmtId="38" fontId="3" fillId="0" borderId="9" xfId="0" applyNumberFormat="1" applyFont="1" applyBorder="1"/>
    <xf numFmtId="38" fontId="3" fillId="0" borderId="0" xfId="1" applyNumberFormat="1" applyFont="1" applyBorder="1"/>
    <xf numFmtId="38" fontId="3" fillId="0" borderId="10" xfId="1" applyNumberFormat="1" applyFont="1" applyBorder="1"/>
    <xf numFmtId="38" fontId="3" fillId="0" borderId="0" xfId="0" applyNumberFormat="1" applyFont="1"/>
    <xf numFmtId="38" fontId="3" fillId="0" borderId="9" xfId="1" applyNumberFormat="1" applyFont="1" applyBorder="1"/>
    <xf numFmtId="38" fontId="3" fillId="0" borderId="11" xfId="0" applyNumberFormat="1" applyFont="1" applyBorder="1"/>
    <xf numFmtId="38" fontId="3" fillId="0" borderId="12" xfId="1" applyNumberFormat="1" applyFont="1" applyBorder="1"/>
    <xf numFmtId="38" fontId="3" fillId="0" borderId="13" xfId="1" applyNumberFormat="1" applyFont="1" applyBorder="1"/>
    <xf numFmtId="38" fontId="3" fillId="0" borderId="14" xfId="1" applyNumberFormat="1" applyFont="1" applyBorder="1"/>
    <xf numFmtId="38" fontId="3" fillId="0" borderId="11" xfId="1" applyNumberFormat="1" applyFont="1" applyBorder="1"/>
    <xf numFmtId="43" fontId="3" fillId="0" borderId="0" xfId="1" applyFont="1" applyFill="1"/>
    <xf numFmtId="0" fontId="3" fillId="0" borderId="4" xfId="0" applyFont="1" applyFill="1" applyBorder="1"/>
    <xf numFmtId="166" fontId="3" fillId="0" borderId="9" xfId="0" applyNumberFormat="1" applyFont="1" applyFill="1" applyBorder="1"/>
    <xf numFmtId="166" fontId="3" fillId="0" borderId="11" xfId="0" applyNumberFormat="1" applyFont="1" applyFill="1" applyBorder="1"/>
    <xf numFmtId="167" fontId="3" fillId="0" borderId="0" xfId="1" applyNumberFormat="1" applyFont="1" applyFill="1" applyBorder="1"/>
    <xf numFmtId="167" fontId="3" fillId="0" borderId="10" xfId="1" applyNumberFormat="1" applyFont="1" applyFill="1" applyBorder="1"/>
    <xf numFmtId="165" fontId="3" fillId="0" borderId="0" xfId="2" applyNumberFormat="1" applyFont="1" applyFill="1" applyBorder="1"/>
    <xf numFmtId="165" fontId="3" fillId="0" borderId="10" xfId="2" applyNumberFormat="1" applyFont="1" applyFill="1" applyBorder="1"/>
    <xf numFmtId="38" fontId="3" fillId="0" borderId="10" xfId="0" applyNumberFormat="1" applyFont="1" applyFill="1" applyBorder="1"/>
    <xf numFmtId="43" fontId="3" fillId="0" borderId="0" xfId="1" applyFont="1" applyAlignment="1">
      <alignment vertical="center"/>
    </xf>
    <xf numFmtId="167" fontId="3" fillId="3" borderId="0" xfId="1" applyNumberFormat="1" applyFont="1" applyFill="1"/>
    <xf numFmtId="0" fontId="2" fillId="0" borderId="0" xfId="0" applyNumberFormat="1" applyFont="1"/>
    <xf numFmtId="0" fontId="3" fillId="0" borderId="0" xfId="0" applyNumberFormat="1" applyFont="1" applyAlignment="1">
      <alignment horizontal="left" indent="1"/>
    </xf>
    <xf numFmtId="9" fontId="3" fillId="5" borderId="0" xfId="0" applyNumberFormat="1" applyFont="1" applyFill="1"/>
    <xf numFmtId="38" fontId="3" fillId="0" borderId="1" xfId="0" applyNumberFormat="1" applyFont="1" applyBorder="1"/>
    <xf numFmtId="38" fontId="3" fillId="0" borderId="12" xfId="0" applyNumberFormat="1" applyFont="1" applyBorder="1"/>
    <xf numFmtId="166" fontId="3" fillId="0" borderId="0" xfId="0" applyNumberFormat="1" applyFont="1"/>
    <xf numFmtId="166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NumberFormat="1" applyFont="1" applyAlignment="1">
      <alignment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Normal="100" workbookViewId="0"/>
  </sheetViews>
  <sheetFormatPr defaultColWidth="5.81640625" defaultRowHeight="10.5" x14ac:dyDescent="0.25"/>
  <cols>
    <col min="1" max="1" width="19.54296875" style="28" bestFit="1" customWidth="1"/>
    <col min="2" max="6" width="7.81640625" style="2" bestFit="1" customWidth="1"/>
    <col min="7" max="7" width="2.7265625" style="2" customWidth="1"/>
    <col min="8" max="8" width="20.54296875" style="2" bestFit="1" customWidth="1"/>
    <col min="9" max="13" width="5.7265625" style="2" bestFit="1" customWidth="1"/>
    <col min="14" max="14" width="2.7265625" style="2" customWidth="1"/>
    <col min="15" max="15" width="12.1796875" style="2" bestFit="1" customWidth="1"/>
    <col min="16" max="20" width="7.453125" style="2" bestFit="1" customWidth="1"/>
    <col min="21" max="16384" width="5.81640625" style="2"/>
  </cols>
  <sheetData>
    <row r="1" spans="1:20" s="53" customFormat="1" ht="12" x14ac:dyDescent="0.3">
      <c r="A1" s="1" t="s">
        <v>33</v>
      </c>
      <c r="B1" s="53" t="s">
        <v>23</v>
      </c>
      <c r="C1" s="53" t="s">
        <v>25</v>
      </c>
      <c r="D1" s="53" t="s">
        <v>27</v>
      </c>
      <c r="E1" s="53" t="s">
        <v>29</v>
      </c>
      <c r="F1" s="53" t="s">
        <v>31</v>
      </c>
      <c r="H1" s="1" t="s">
        <v>34</v>
      </c>
      <c r="I1" s="53" t="s">
        <v>23</v>
      </c>
      <c r="J1" s="53" t="s">
        <v>25</v>
      </c>
      <c r="K1" s="53" t="s">
        <v>27</v>
      </c>
      <c r="L1" s="53" t="s">
        <v>29</v>
      </c>
      <c r="M1" s="53" t="s">
        <v>31</v>
      </c>
      <c r="N1" s="79"/>
      <c r="O1" s="52"/>
      <c r="P1" s="53" t="s">
        <v>23</v>
      </c>
      <c r="Q1" s="53" t="s">
        <v>25</v>
      </c>
      <c r="R1" s="53" t="s">
        <v>27</v>
      </c>
      <c r="S1" s="53" t="s">
        <v>29</v>
      </c>
      <c r="T1" s="53" t="s">
        <v>31</v>
      </c>
    </row>
    <row r="2" spans="1:20" s="16" customFormat="1" x14ac:dyDescent="0.25">
      <c r="A2" s="92" t="s">
        <v>177</v>
      </c>
      <c r="B2" s="55"/>
      <c r="C2" s="56">
        <v>0.4</v>
      </c>
      <c r="D2" s="56">
        <v>0.3</v>
      </c>
      <c r="E2" s="56">
        <v>0.1</v>
      </c>
      <c r="F2" s="56">
        <v>0.05</v>
      </c>
      <c r="H2" s="92" t="s">
        <v>105</v>
      </c>
      <c r="I2" s="57"/>
      <c r="J2" s="58">
        <v>0.3</v>
      </c>
      <c r="K2" s="58">
        <v>0.2</v>
      </c>
      <c r="L2" s="58">
        <v>0.1</v>
      </c>
      <c r="M2" s="58">
        <v>0.05</v>
      </c>
      <c r="O2" s="63" t="s">
        <v>98</v>
      </c>
      <c r="P2" s="119">
        <f>'P&amp;L'!O5</f>
        <v>1436.5</v>
      </c>
      <c r="Q2" s="119">
        <f>'P&amp;L'!P5</f>
        <v>2011.1</v>
      </c>
      <c r="R2" s="119">
        <f>'P&amp;L'!Q5</f>
        <v>2614.4299999999998</v>
      </c>
      <c r="S2" s="119">
        <f>'P&amp;L'!R5</f>
        <v>2875.8730000000005</v>
      </c>
      <c r="T2" s="124">
        <f>'P&amp;L'!S5</f>
        <v>3019.6666500000001</v>
      </c>
    </row>
    <row r="3" spans="1:20" x14ac:dyDescent="0.25">
      <c r="A3" s="61" t="s">
        <v>39</v>
      </c>
      <c r="B3" s="62"/>
      <c r="C3" s="62"/>
      <c r="D3" s="62"/>
      <c r="E3" s="62"/>
      <c r="F3" s="62"/>
      <c r="G3" s="16"/>
      <c r="H3" s="92" t="s">
        <v>106</v>
      </c>
      <c r="I3" s="57"/>
      <c r="J3" s="58">
        <v>0.3</v>
      </c>
      <c r="K3" s="58">
        <v>0.2</v>
      </c>
      <c r="L3" s="58">
        <v>0.1</v>
      </c>
      <c r="M3" s="58">
        <v>0.05</v>
      </c>
      <c r="O3" s="64" t="s">
        <v>138</v>
      </c>
      <c r="P3" s="120">
        <f>'P&amp;L'!O10</f>
        <v>233220</v>
      </c>
      <c r="Q3" s="120">
        <f>'P&amp;L'!P10</f>
        <v>326508</v>
      </c>
      <c r="R3" s="120">
        <f>'P&amp;L'!Q10</f>
        <v>424460.4</v>
      </c>
      <c r="S3" s="120">
        <f>'P&amp;L'!R10</f>
        <v>466906.44000000006</v>
      </c>
      <c r="T3" s="121">
        <f>'P&amp;L'!S10</f>
        <v>490251.76199999999</v>
      </c>
    </row>
    <row r="4" spans="1:20" x14ac:dyDescent="0.25">
      <c r="A4" s="141" t="s">
        <v>178</v>
      </c>
      <c r="B4" s="14">
        <v>240</v>
      </c>
      <c r="C4" s="14">
        <v>240</v>
      </c>
      <c r="D4" s="14">
        <v>240</v>
      </c>
      <c r="E4" s="14">
        <v>240</v>
      </c>
      <c r="F4" s="14">
        <v>240</v>
      </c>
      <c r="H4" s="92" t="s">
        <v>67</v>
      </c>
      <c r="I4" s="57"/>
      <c r="J4" s="58">
        <v>0.3</v>
      </c>
      <c r="K4" s="58">
        <v>0.2</v>
      </c>
      <c r="L4" s="58">
        <v>0.1</v>
      </c>
      <c r="M4" s="58">
        <v>0.05</v>
      </c>
      <c r="O4" s="64" t="s">
        <v>99</v>
      </c>
      <c r="P4" s="120">
        <f>'P&amp;L'!O11</f>
        <v>-79294.8</v>
      </c>
      <c r="Q4" s="120">
        <f>'P&amp;L'!P11</f>
        <v>-111012.72</v>
      </c>
      <c r="R4" s="120">
        <f>'P&amp;L'!Q11</f>
        <v>-144316.53600000002</v>
      </c>
      <c r="S4" s="120">
        <f>'P&amp;L'!R11</f>
        <v>-158748.18960000004</v>
      </c>
      <c r="T4" s="121">
        <f>'P&amp;L'!S11</f>
        <v>-166685.59908000001</v>
      </c>
    </row>
    <row r="5" spans="1:20" x14ac:dyDescent="0.25">
      <c r="A5" s="141" t="s">
        <v>179</v>
      </c>
      <c r="B5" s="14">
        <v>152</v>
      </c>
      <c r="C5" s="14">
        <v>152</v>
      </c>
      <c r="D5" s="14">
        <v>152</v>
      </c>
      <c r="E5" s="14">
        <v>152</v>
      </c>
      <c r="F5" s="14">
        <v>152</v>
      </c>
      <c r="H5" s="92" t="s">
        <v>107</v>
      </c>
      <c r="I5" s="57"/>
      <c r="J5" s="58">
        <v>0.3</v>
      </c>
      <c r="K5" s="58">
        <v>0.2</v>
      </c>
      <c r="L5" s="58">
        <v>0.1</v>
      </c>
      <c r="M5" s="58">
        <v>0.05</v>
      </c>
      <c r="O5" s="65" t="s">
        <v>100</v>
      </c>
      <c r="P5" s="102">
        <f>'P&amp;L'!O12</f>
        <v>-2332.2000000000003</v>
      </c>
      <c r="Q5" s="102">
        <f>'P&amp;L'!P12</f>
        <v>-3265.08</v>
      </c>
      <c r="R5" s="102">
        <f>'P&amp;L'!Q12</f>
        <v>-4244.6040000000003</v>
      </c>
      <c r="S5" s="102">
        <f>'P&amp;L'!R12</f>
        <v>-4669.0644000000011</v>
      </c>
      <c r="T5" s="125">
        <f>'P&amp;L'!S12</f>
        <v>-4902.5176199999996</v>
      </c>
    </row>
    <row r="6" spans="1:20" x14ac:dyDescent="0.25">
      <c r="A6" s="141" t="s">
        <v>180</v>
      </c>
      <c r="B6" s="15">
        <v>0.34</v>
      </c>
      <c r="C6" s="15">
        <v>0.34</v>
      </c>
      <c r="D6" s="15">
        <v>0.34</v>
      </c>
      <c r="E6" s="15">
        <v>0.34</v>
      </c>
      <c r="F6" s="15">
        <v>0.34</v>
      </c>
      <c r="H6" s="92" t="s">
        <v>108</v>
      </c>
      <c r="I6" s="57"/>
      <c r="J6" s="58">
        <v>0.3</v>
      </c>
      <c r="K6" s="58">
        <v>0.2</v>
      </c>
      <c r="L6" s="58">
        <v>0.1</v>
      </c>
      <c r="M6" s="58">
        <v>0.05</v>
      </c>
      <c r="O6" s="64" t="s">
        <v>0</v>
      </c>
      <c r="P6" s="120">
        <f>'P&amp;L'!O13</f>
        <v>151593</v>
      </c>
      <c r="Q6" s="120">
        <f>'P&amp;L'!P13</f>
        <v>212230.2</v>
      </c>
      <c r="R6" s="120">
        <f>'P&amp;L'!Q13</f>
        <v>275899.26</v>
      </c>
      <c r="S6" s="120">
        <f>'P&amp;L'!R13</f>
        <v>303489.18600000005</v>
      </c>
      <c r="T6" s="121">
        <f>'P&amp;L'!S13</f>
        <v>318663.64529999997</v>
      </c>
    </row>
    <row r="7" spans="1:20" x14ac:dyDescent="0.25">
      <c r="A7" s="141" t="s">
        <v>181</v>
      </c>
      <c r="B7" s="15">
        <v>0.01</v>
      </c>
      <c r="C7" s="15">
        <v>0.01</v>
      </c>
      <c r="D7" s="15">
        <v>0.01</v>
      </c>
      <c r="E7" s="15">
        <v>0.01</v>
      </c>
      <c r="F7" s="15">
        <v>0.01</v>
      </c>
      <c r="H7" s="92" t="s">
        <v>109</v>
      </c>
      <c r="I7" s="57"/>
      <c r="J7" s="58">
        <v>0.3</v>
      </c>
      <c r="K7" s="58">
        <v>0.2</v>
      </c>
      <c r="L7" s="58">
        <v>0.1</v>
      </c>
      <c r="M7" s="58">
        <v>0.05</v>
      </c>
      <c r="O7" s="66" t="s">
        <v>18</v>
      </c>
      <c r="P7" s="120">
        <f>'P&amp;L'!O14</f>
        <v>119301</v>
      </c>
      <c r="Q7" s="120">
        <f>'P&amp;L'!P14</f>
        <v>191007.18000000002</v>
      </c>
      <c r="R7" s="120">
        <f>'P&amp;L'!Q14</f>
        <v>248309.334</v>
      </c>
      <c r="S7" s="120">
        <f>'P&amp;L'!R14</f>
        <v>273140.26740000007</v>
      </c>
      <c r="T7" s="121">
        <f>'P&amp;L'!S14</f>
        <v>286797.28077000001</v>
      </c>
    </row>
    <row r="8" spans="1:20" x14ac:dyDescent="0.25">
      <c r="A8" s="1" t="s">
        <v>50</v>
      </c>
      <c r="C8" s="59"/>
      <c r="D8" s="59"/>
      <c r="E8" s="59"/>
      <c r="F8" s="59"/>
      <c r="H8" s="92" t="s">
        <v>110</v>
      </c>
      <c r="I8" s="57"/>
      <c r="J8" s="58">
        <v>0.3</v>
      </c>
      <c r="K8" s="58">
        <v>0.2</v>
      </c>
      <c r="L8" s="58">
        <v>0.1</v>
      </c>
      <c r="M8" s="58">
        <v>0.05</v>
      </c>
      <c r="O8" s="64"/>
      <c r="P8" s="120"/>
      <c r="Q8" s="120"/>
      <c r="R8" s="120"/>
      <c r="S8" s="120"/>
      <c r="T8" s="121"/>
    </row>
    <row r="9" spans="1:20" x14ac:dyDescent="0.25">
      <c r="A9" s="92" t="s">
        <v>182</v>
      </c>
      <c r="H9" s="92" t="s">
        <v>111</v>
      </c>
      <c r="I9" s="57"/>
      <c r="J9" s="58">
        <v>0.3</v>
      </c>
      <c r="K9" s="58">
        <v>0.2</v>
      </c>
      <c r="L9" s="58">
        <v>0.1</v>
      </c>
      <c r="M9" s="58">
        <v>0.05</v>
      </c>
      <c r="O9" s="64" t="s">
        <v>54</v>
      </c>
      <c r="P9" s="120"/>
      <c r="Q9" s="120"/>
      <c r="R9" s="120"/>
      <c r="S9" s="120"/>
      <c r="T9" s="121"/>
    </row>
    <row r="10" spans="1:20" x14ac:dyDescent="0.25">
      <c r="A10" s="94" t="s">
        <v>183</v>
      </c>
      <c r="B10" s="129">
        <f>Staff!C15</f>
        <v>1.25</v>
      </c>
      <c r="C10" s="129">
        <f>Staff!D15</f>
        <v>1.5</v>
      </c>
      <c r="D10" s="129">
        <f>Staff!E15</f>
        <v>2</v>
      </c>
      <c r="E10" s="129">
        <f>Staff!F15</f>
        <v>2</v>
      </c>
      <c r="F10" s="129">
        <f>Staff!G15</f>
        <v>2</v>
      </c>
      <c r="H10" s="1" t="s">
        <v>45</v>
      </c>
      <c r="O10" s="64" t="s">
        <v>56</v>
      </c>
      <c r="P10" s="120">
        <f>'P&amp;L'!O21</f>
        <v>73507.199999999997</v>
      </c>
      <c r="Q10" s="120">
        <f>'P&amp;L'!P21</f>
        <v>105414.39999999999</v>
      </c>
      <c r="R10" s="120">
        <f>'P&amp;L'!Q21</f>
        <v>151257.60000000001</v>
      </c>
      <c r="S10" s="120">
        <f>'P&amp;L'!R21</f>
        <v>151257.60000000001</v>
      </c>
      <c r="T10" s="121">
        <f>'P&amp;L'!S21</f>
        <v>151257.60000000001</v>
      </c>
    </row>
    <row r="11" spans="1:20" x14ac:dyDescent="0.25">
      <c r="A11" s="94" t="s">
        <v>184</v>
      </c>
      <c r="B11" s="11">
        <f>Staff!K15/12</f>
        <v>4766.666666666667</v>
      </c>
      <c r="C11" s="11">
        <f>Staff!L15/12</f>
        <v>6066.666666666667</v>
      </c>
      <c r="D11" s="11">
        <f>Staff!M15/12</f>
        <v>8666.6666666666661</v>
      </c>
      <c r="E11" s="11">
        <f>Staff!N15/12</f>
        <v>8666.6666666666661</v>
      </c>
      <c r="F11" s="11">
        <f>Staff!O15/12</f>
        <v>8666.6666666666661</v>
      </c>
      <c r="H11" s="92" t="s">
        <v>114</v>
      </c>
      <c r="I11" s="57"/>
      <c r="J11" s="58">
        <v>0</v>
      </c>
      <c r="K11" s="58">
        <v>0</v>
      </c>
      <c r="L11" s="58">
        <v>0.05</v>
      </c>
      <c r="M11" s="58">
        <v>0</v>
      </c>
      <c r="O11" s="64" t="s">
        <v>58</v>
      </c>
      <c r="P11" s="120">
        <f>'P&amp;L'!O32</f>
        <v>18231.510000000002</v>
      </c>
      <c r="Q11" s="120">
        <f>'P&amp;L'!P32</f>
        <v>23276.502600000003</v>
      </c>
      <c r="R11" s="120">
        <f>'P&amp;L'!Q32</f>
        <v>29268.853380000008</v>
      </c>
      <c r="S11" s="120">
        <f>'P&amp;L'!R32</f>
        <v>32195.738718000008</v>
      </c>
      <c r="T11" s="121">
        <f>'P&amp;L'!S32</f>
        <v>33805.525653900011</v>
      </c>
    </row>
    <row r="12" spans="1:20" x14ac:dyDescent="0.25">
      <c r="A12" s="94" t="s">
        <v>185</v>
      </c>
      <c r="B12" s="11">
        <f>Staff!K15</f>
        <v>57200</v>
      </c>
      <c r="C12" s="11">
        <f>Staff!L15</f>
        <v>72800</v>
      </c>
      <c r="D12" s="11">
        <f>Staff!M15</f>
        <v>104000</v>
      </c>
      <c r="E12" s="11">
        <f>Staff!N15</f>
        <v>104000</v>
      </c>
      <c r="F12" s="11">
        <f>Staff!O15</f>
        <v>104000</v>
      </c>
      <c r="H12" s="92" t="s">
        <v>112</v>
      </c>
      <c r="I12" s="57"/>
      <c r="J12" s="58">
        <v>0</v>
      </c>
      <c r="K12" s="58">
        <v>0</v>
      </c>
      <c r="L12" s="58">
        <v>0</v>
      </c>
      <c r="M12" s="58">
        <v>0</v>
      </c>
      <c r="O12" s="65" t="s">
        <v>59</v>
      </c>
      <c r="P12" s="102">
        <f>'P&amp;L'!O47</f>
        <v>40020</v>
      </c>
      <c r="Q12" s="102">
        <f>'P&amp;L'!P47</f>
        <v>40731</v>
      </c>
      <c r="R12" s="102">
        <f>'P&amp;L'!Q47</f>
        <v>41328.240000000005</v>
      </c>
      <c r="S12" s="102">
        <f>'P&amp;L'!R47</f>
        <v>42964.087199999994</v>
      </c>
      <c r="T12" s="125">
        <f>'P&amp;L'!S47</f>
        <v>43283.968943999993</v>
      </c>
    </row>
    <row r="13" spans="1:20" x14ac:dyDescent="0.25">
      <c r="A13" s="92" t="s">
        <v>186</v>
      </c>
      <c r="B13" s="68"/>
      <c r="C13" s="68"/>
      <c r="D13" s="68"/>
      <c r="E13" s="68"/>
      <c r="F13" s="68"/>
      <c r="H13" s="92" t="s">
        <v>113</v>
      </c>
      <c r="I13" s="57"/>
      <c r="J13" s="58">
        <v>0.05</v>
      </c>
      <c r="K13" s="58">
        <v>0.04</v>
      </c>
      <c r="L13" s="58">
        <v>0.03</v>
      </c>
      <c r="M13" s="58">
        <v>0.02</v>
      </c>
      <c r="O13" s="64" t="s">
        <v>61</v>
      </c>
      <c r="P13" s="120">
        <f>'P&amp;L'!O49</f>
        <v>131758.71</v>
      </c>
      <c r="Q13" s="120">
        <f>'P&amp;L'!P49</f>
        <v>169421.9026</v>
      </c>
      <c r="R13" s="120">
        <f>'P&amp;L'!Q49</f>
        <v>221854.69338000001</v>
      </c>
      <c r="S13" s="120">
        <f>'P&amp;L'!R49</f>
        <v>226417.42591799999</v>
      </c>
      <c r="T13" s="121">
        <f>'P&amp;L'!S49</f>
        <v>228347.09459790002</v>
      </c>
    </row>
    <row r="14" spans="1:20" x14ac:dyDescent="0.25">
      <c r="A14" s="94" t="s">
        <v>183</v>
      </c>
      <c r="B14" s="129">
        <f>Staff!C32</f>
        <v>0.5</v>
      </c>
      <c r="C14" s="129">
        <f>Staff!D32</f>
        <v>1</v>
      </c>
      <c r="D14" s="129">
        <f>Staff!E32</f>
        <v>1</v>
      </c>
      <c r="E14" s="129">
        <f>Staff!F32</f>
        <v>1</v>
      </c>
      <c r="F14" s="129">
        <f>Staff!G32</f>
        <v>1</v>
      </c>
      <c r="H14" s="92" t="s">
        <v>115</v>
      </c>
      <c r="I14" s="57"/>
      <c r="J14" s="58">
        <v>0.05</v>
      </c>
      <c r="K14" s="58">
        <v>0.04</v>
      </c>
      <c r="L14" s="58">
        <v>0.03</v>
      </c>
      <c r="M14" s="58">
        <v>0.02</v>
      </c>
      <c r="O14" s="64"/>
      <c r="P14" s="120"/>
      <c r="Q14" s="120"/>
      <c r="R14" s="120"/>
      <c r="S14" s="120"/>
      <c r="T14" s="121"/>
    </row>
    <row r="15" spans="1:20" x14ac:dyDescent="0.25">
      <c r="A15" s="94" t="s">
        <v>184</v>
      </c>
      <c r="B15" s="11">
        <f>Staff!K32/12</f>
        <v>1213.3333333333333</v>
      </c>
      <c r="C15" s="11">
        <f>Staff!L32/12</f>
        <v>2426.6666666666665</v>
      </c>
      <c r="D15" s="11">
        <f>Staff!M32/12</f>
        <v>2426.6666666666665</v>
      </c>
      <c r="E15" s="11">
        <f>Staff!N32/12</f>
        <v>2426.6666666666665</v>
      </c>
      <c r="F15" s="11">
        <f>Staff!O32/12</f>
        <v>2426.6666666666665</v>
      </c>
      <c r="H15" s="92" t="s">
        <v>116</v>
      </c>
      <c r="I15" s="57"/>
      <c r="J15" s="58">
        <v>0.05</v>
      </c>
      <c r="K15" s="58">
        <v>0.04</v>
      </c>
      <c r="L15" s="58">
        <v>0.03</v>
      </c>
      <c r="M15" s="58">
        <v>0.02</v>
      </c>
      <c r="O15" s="69" t="s">
        <v>64</v>
      </c>
      <c r="P15" s="103">
        <f>'P&amp;L'!O51</f>
        <v>19834.290000000008</v>
      </c>
      <c r="Q15" s="103">
        <f>'P&amp;L'!P51</f>
        <v>42808.29740000001</v>
      </c>
      <c r="R15" s="103">
        <f>'P&amp;L'!Q51</f>
        <v>54044.566619999998</v>
      </c>
      <c r="S15" s="103">
        <f>'P&amp;L'!R51</f>
        <v>77071.760082000052</v>
      </c>
      <c r="T15" s="126">
        <f>'P&amp;L'!S51</f>
        <v>90316.55070209995</v>
      </c>
    </row>
    <row r="16" spans="1:20" x14ac:dyDescent="0.25">
      <c r="A16" s="94" t="s">
        <v>185</v>
      </c>
      <c r="B16" s="11">
        <f>Staff!K32</f>
        <v>14560</v>
      </c>
      <c r="C16" s="11">
        <f>Staff!L32</f>
        <v>29120</v>
      </c>
      <c r="D16" s="11">
        <f>Staff!M32</f>
        <v>29120</v>
      </c>
      <c r="E16" s="11">
        <f>Staff!N32</f>
        <v>29120</v>
      </c>
      <c r="F16" s="11">
        <f>Staff!O32</f>
        <v>29120</v>
      </c>
      <c r="H16" s="92" t="s">
        <v>117</v>
      </c>
      <c r="I16" s="57"/>
      <c r="J16" s="58">
        <v>0.05</v>
      </c>
      <c r="K16" s="58">
        <v>0.04</v>
      </c>
      <c r="L16" s="58">
        <v>0.03</v>
      </c>
      <c r="M16" s="58">
        <v>0.02</v>
      </c>
      <c r="O16" s="64"/>
      <c r="P16" s="120"/>
      <c r="Q16" s="120"/>
      <c r="R16" s="120"/>
      <c r="S16" s="120"/>
      <c r="T16" s="121"/>
    </row>
    <row r="17" spans="1:20" x14ac:dyDescent="0.25">
      <c r="A17" s="92" t="s">
        <v>187</v>
      </c>
      <c r="B17" s="11"/>
      <c r="C17" s="11"/>
      <c r="D17" s="11"/>
      <c r="E17" s="11"/>
      <c r="F17" s="11"/>
      <c r="G17" s="1"/>
      <c r="H17" s="92" t="s">
        <v>118</v>
      </c>
      <c r="I17" s="57"/>
      <c r="J17" s="58">
        <v>0.05</v>
      </c>
      <c r="K17" s="58">
        <v>0.04</v>
      </c>
      <c r="L17" s="58">
        <v>0.03</v>
      </c>
      <c r="M17" s="58">
        <v>0.02</v>
      </c>
      <c r="N17" s="54"/>
      <c r="O17" s="64" t="s">
        <v>65</v>
      </c>
      <c r="P17" s="120">
        <f>'P&amp;L'!O52</f>
        <v>0</v>
      </c>
      <c r="Q17" s="120">
        <f>'P&amp;L'!P52</f>
        <v>0</v>
      </c>
      <c r="R17" s="120">
        <f>'P&amp;L'!Q52</f>
        <v>0</v>
      </c>
      <c r="S17" s="120">
        <f>'P&amp;L'!R52</f>
        <v>0</v>
      </c>
      <c r="T17" s="121">
        <f>'P&amp;L'!S52</f>
        <v>0</v>
      </c>
    </row>
    <row r="18" spans="1:20" x14ac:dyDescent="0.25">
      <c r="A18" s="94" t="s">
        <v>188</v>
      </c>
      <c r="B18" s="71">
        <v>0.12</v>
      </c>
      <c r="C18" s="71">
        <v>0.12</v>
      </c>
      <c r="D18" s="71">
        <v>0.12</v>
      </c>
      <c r="E18" s="71">
        <v>0.12</v>
      </c>
      <c r="F18" s="71">
        <v>0.12</v>
      </c>
      <c r="H18" s="92" t="s">
        <v>119</v>
      </c>
      <c r="I18" s="57"/>
      <c r="J18" s="58">
        <v>0.05</v>
      </c>
      <c r="K18" s="58">
        <v>0.04</v>
      </c>
      <c r="L18" s="58">
        <v>0.03</v>
      </c>
      <c r="M18" s="58">
        <v>0.02</v>
      </c>
      <c r="N18" s="59"/>
      <c r="O18" s="64" t="s">
        <v>66</v>
      </c>
      <c r="P18" s="120">
        <f>'P&amp;L'!O53</f>
        <v>0</v>
      </c>
      <c r="Q18" s="120">
        <f>'P&amp;L'!P53</f>
        <v>0</v>
      </c>
      <c r="R18" s="120">
        <f>'P&amp;L'!Q53</f>
        <v>0</v>
      </c>
      <c r="S18" s="120">
        <f>'P&amp;L'!R53</f>
        <v>0</v>
      </c>
      <c r="T18" s="121">
        <f>'P&amp;L'!S53</f>
        <v>0</v>
      </c>
    </row>
    <row r="19" spans="1:20" x14ac:dyDescent="0.25">
      <c r="A19" s="92" t="s">
        <v>102</v>
      </c>
      <c r="B19" s="72"/>
      <c r="C19" s="72"/>
      <c r="D19" s="72"/>
      <c r="E19" s="72"/>
      <c r="F19" s="72"/>
      <c r="H19" s="92" t="s">
        <v>120</v>
      </c>
      <c r="I19" s="57"/>
      <c r="J19" s="58">
        <v>0.05</v>
      </c>
      <c r="K19" s="58">
        <v>0.04</v>
      </c>
      <c r="L19" s="58">
        <v>0.03</v>
      </c>
      <c r="M19" s="58">
        <v>0.02</v>
      </c>
      <c r="N19" s="59"/>
      <c r="O19" s="64"/>
      <c r="P19" s="120"/>
      <c r="Q19" s="120"/>
      <c r="R19" s="120"/>
      <c r="S19" s="120"/>
      <c r="T19" s="121"/>
    </row>
    <row r="20" spans="1:20" ht="11" thickBot="1" x14ac:dyDescent="0.3">
      <c r="A20" s="94" t="s">
        <v>189</v>
      </c>
      <c r="B20" s="71">
        <v>0</v>
      </c>
      <c r="C20" s="71">
        <v>0</v>
      </c>
      <c r="D20" s="71">
        <v>0.04</v>
      </c>
      <c r="E20" s="71">
        <v>0.04</v>
      </c>
      <c r="F20" s="71">
        <v>0.04</v>
      </c>
      <c r="H20" s="92" t="s">
        <v>121</v>
      </c>
      <c r="I20" s="57"/>
      <c r="J20" s="58">
        <v>0</v>
      </c>
      <c r="K20" s="58">
        <v>0</v>
      </c>
      <c r="L20" s="58">
        <v>0</v>
      </c>
      <c r="M20" s="58">
        <v>0</v>
      </c>
      <c r="N20" s="59"/>
      <c r="O20" s="73" t="s">
        <v>68</v>
      </c>
      <c r="P20" s="104">
        <f>'P&amp;L'!O54</f>
        <v>19834.290000000008</v>
      </c>
      <c r="Q20" s="104">
        <f>'P&amp;L'!P54</f>
        <v>42808.29740000001</v>
      </c>
      <c r="R20" s="104">
        <f>'P&amp;L'!Q54</f>
        <v>54044.566619999998</v>
      </c>
      <c r="S20" s="104">
        <f>'P&amp;L'!R54</f>
        <v>77071.760082000052</v>
      </c>
      <c r="T20" s="127">
        <f>'P&amp;L'!S54</f>
        <v>90316.55070209995</v>
      </c>
    </row>
    <row r="21" spans="1:20" ht="11" thickTop="1" x14ac:dyDescent="0.25">
      <c r="A21" s="94" t="s">
        <v>190</v>
      </c>
      <c r="B21" s="71">
        <v>0</v>
      </c>
      <c r="C21" s="71">
        <v>0</v>
      </c>
      <c r="D21" s="71">
        <v>0.04</v>
      </c>
      <c r="E21" s="71">
        <v>0.04</v>
      </c>
      <c r="F21" s="71">
        <v>0.04</v>
      </c>
      <c r="H21" s="92" t="s">
        <v>122</v>
      </c>
      <c r="I21" s="57"/>
      <c r="J21" s="58">
        <v>0.05</v>
      </c>
      <c r="K21" s="58">
        <v>0.04</v>
      </c>
      <c r="L21" s="58">
        <v>0.03</v>
      </c>
      <c r="M21" s="58">
        <v>0.02</v>
      </c>
      <c r="N21" s="59"/>
      <c r="P21" s="122"/>
      <c r="Q21" s="122"/>
      <c r="R21" s="122"/>
      <c r="S21" s="122"/>
      <c r="T21" s="122"/>
    </row>
    <row r="22" spans="1:20" x14ac:dyDescent="0.25">
      <c r="A22" s="94" t="s">
        <v>191</v>
      </c>
      <c r="B22" s="71">
        <v>0</v>
      </c>
      <c r="C22" s="71">
        <v>0</v>
      </c>
      <c r="D22" s="71">
        <v>0.03</v>
      </c>
      <c r="E22" s="71">
        <v>0.03</v>
      </c>
      <c r="F22" s="71">
        <v>0.03</v>
      </c>
      <c r="H22" s="92" t="s">
        <v>123</v>
      </c>
      <c r="I22" s="57"/>
      <c r="J22" s="58">
        <v>0.05</v>
      </c>
      <c r="K22" s="58">
        <v>0.04</v>
      </c>
      <c r="L22" s="58">
        <v>0.03</v>
      </c>
      <c r="M22" s="58">
        <v>0.02</v>
      </c>
      <c r="N22" s="59"/>
      <c r="O22" s="63" t="s">
        <v>70</v>
      </c>
      <c r="P22" s="123">
        <f>'P&amp;L'!O61</f>
        <v>27542.290000000008</v>
      </c>
      <c r="Q22" s="123">
        <f>'P&amp;L'!P61</f>
        <v>21585.277400000021</v>
      </c>
      <c r="R22" s="123">
        <f>'P&amp;L'!Q61</f>
        <v>26454.640619999991</v>
      </c>
      <c r="S22" s="123">
        <f>'P&amp;L'!R61</f>
        <v>46722.841482000076</v>
      </c>
      <c r="T22" s="128">
        <f>'P&amp;L'!S61</f>
        <v>58450.186172099988</v>
      </c>
    </row>
    <row r="23" spans="1:20" x14ac:dyDescent="0.25">
      <c r="A23" s="94" t="s">
        <v>192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H23" s="92" t="s">
        <v>124</v>
      </c>
      <c r="I23" s="57"/>
      <c r="J23" s="58">
        <v>0.05</v>
      </c>
      <c r="K23" s="58">
        <v>0.04</v>
      </c>
      <c r="L23" s="58">
        <v>0.03</v>
      </c>
      <c r="M23" s="58">
        <v>0.02</v>
      </c>
      <c r="N23" s="59"/>
      <c r="O23" s="65" t="s">
        <v>71</v>
      </c>
      <c r="P23" s="102">
        <f>'P&amp;L'!O62</f>
        <v>27542.290000000008</v>
      </c>
      <c r="Q23" s="102">
        <f>'P&amp;L'!P62</f>
        <v>49127.567400000029</v>
      </c>
      <c r="R23" s="102">
        <f>'P&amp;L'!Q62</f>
        <v>75582.20802000002</v>
      </c>
      <c r="S23" s="102">
        <f>'P&amp;L'!R62</f>
        <v>122305.0495020001</v>
      </c>
      <c r="T23" s="125">
        <f>'P&amp;L'!S62</f>
        <v>180755.23567410008</v>
      </c>
    </row>
    <row r="24" spans="1:20" x14ac:dyDescent="0.25">
      <c r="A24" s="141" t="s">
        <v>193</v>
      </c>
      <c r="B24" s="77">
        <f>SUM(B20:B23)</f>
        <v>0</v>
      </c>
      <c r="C24" s="77">
        <f>SUM(C20:C23)</f>
        <v>0</v>
      </c>
      <c r="D24" s="77">
        <f>SUM(D20:D23)</f>
        <v>0.11</v>
      </c>
      <c r="E24" s="77">
        <f>SUM(E20:E23)</f>
        <v>0.11</v>
      </c>
      <c r="F24" s="77">
        <f>SUM(F20:F23)</f>
        <v>0.11</v>
      </c>
      <c r="H24" s="92" t="s">
        <v>194</v>
      </c>
      <c r="I24" s="59"/>
      <c r="J24" s="59"/>
      <c r="K24" s="59"/>
      <c r="L24" s="59"/>
      <c r="M24" s="59"/>
      <c r="N24" s="59"/>
    </row>
    <row r="25" spans="1:20" x14ac:dyDescent="0.25">
      <c r="A25" s="140" t="s">
        <v>170</v>
      </c>
      <c r="H25" s="94" t="s">
        <v>65</v>
      </c>
      <c r="I25" s="70"/>
      <c r="J25" s="58">
        <v>0</v>
      </c>
      <c r="K25" s="58">
        <v>0</v>
      </c>
      <c r="L25" s="58">
        <v>0</v>
      </c>
      <c r="M25" s="58">
        <v>0</v>
      </c>
      <c r="N25" s="59"/>
      <c r="O25" s="130" t="s">
        <v>139</v>
      </c>
      <c r="P25" s="131">
        <f>Metrics!O3</f>
        <v>0.69062500000000004</v>
      </c>
      <c r="Q25" s="131">
        <f>Metrics!P3</f>
        <v>0.96687499999999993</v>
      </c>
      <c r="R25" s="131">
        <f>Metrics!Q3</f>
        <v>1.2569374999999998</v>
      </c>
      <c r="S25" s="131">
        <f>Metrics!R3</f>
        <v>1.3826312500000002</v>
      </c>
      <c r="T25" s="132">
        <f>Metrics!S3</f>
        <v>1.4517628125000002</v>
      </c>
    </row>
    <row r="26" spans="1:20" s="26" customFormat="1" x14ac:dyDescent="0.25">
      <c r="A26" s="141" t="s">
        <v>127</v>
      </c>
      <c r="B26" s="108">
        <v>60000</v>
      </c>
      <c r="C26" s="108"/>
      <c r="D26" s="108"/>
      <c r="E26" s="108"/>
      <c r="F26" s="108"/>
      <c r="G26" s="2"/>
      <c r="H26" s="94" t="s">
        <v>66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59"/>
      <c r="O26" s="66" t="s">
        <v>21</v>
      </c>
      <c r="P26" s="133">
        <f>Metrics!O4</f>
        <v>5.611328125</v>
      </c>
      <c r="Q26" s="133">
        <f>Metrics!P4</f>
        <v>7.8558593749999996</v>
      </c>
      <c r="R26" s="133">
        <f>Metrics!Q4</f>
        <v>10.212617187499999</v>
      </c>
      <c r="S26" s="133">
        <f>Metrics!R4</f>
        <v>11.233878906250002</v>
      </c>
      <c r="T26" s="134">
        <f>Metrics!S4</f>
        <v>11.7955728515625</v>
      </c>
    </row>
    <row r="27" spans="1:20" s="26" customFormat="1" x14ac:dyDescent="0.25">
      <c r="A27" s="141" t="s">
        <v>171</v>
      </c>
      <c r="B27" s="33">
        <f>Startup!B60</f>
        <v>20000</v>
      </c>
      <c r="C27" s="108"/>
      <c r="D27" s="108"/>
      <c r="E27" s="108"/>
      <c r="F27" s="108"/>
      <c r="G27" s="2"/>
      <c r="H27" s="1" t="s">
        <v>67</v>
      </c>
      <c r="I27" s="2"/>
      <c r="J27" s="59"/>
      <c r="K27" s="59"/>
      <c r="L27" s="59"/>
      <c r="M27" s="59"/>
      <c r="N27" s="59"/>
      <c r="O27" s="66" t="s">
        <v>142</v>
      </c>
      <c r="P27" s="133">
        <f>P26/B10</f>
        <v>4.4890625000000002</v>
      </c>
      <c r="Q27" s="133">
        <f>Q26/C10</f>
        <v>5.2372395833333334</v>
      </c>
      <c r="R27" s="133">
        <f>R26/D10</f>
        <v>5.1063085937499997</v>
      </c>
      <c r="S27" s="133">
        <f>S26/E10</f>
        <v>5.616939453125001</v>
      </c>
      <c r="T27" s="134">
        <f>T26/F10</f>
        <v>5.8977864257812502</v>
      </c>
    </row>
    <row r="28" spans="1:20" s="26" customFormat="1" x14ac:dyDescent="0.25">
      <c r="A28" s="28"/>
      <c r="B28" s="2"/>
      <c r="C28" s="2"/>
      <c r="D28" s="2"/>
      <c r="E28" s="2"/>
      <c r="F28" s="2"/>
      <c r="G28" s="2"/>
      <c r="H28" s="92" t="s">
        <v>195</v>
      </c>
      <c r="I28" s="142">
        <v>7.0000000000000007E-2</v>
      </c>
      <c r="J28" s="15">
        <v>7.0000000000000007E-2</v>
      </c>
      <c r="K28" s="15">
        <v>7.0000000000000007E-2</v>
      </c>
      <c r="L28" s="15">
        <v>7.0000000000000007E-2</v>
      </c>
      <c r="M28" s="15">
        <v>7.0000000000000007E-2</v>
      </c>
      <c r="N28" s="59"/>
      <c r="O28" s="66" t="s">
        <v>135</v>
      </c>
      <c r="P28" s="135">
        <f>Metrics!O6</f>
        <v>0.41437499999999999</v>
      </c>
      <c r="Q28" s="135">
        <f>Metrics!P6</f>
        <v>0.48343749999999996</v>
      </c>
      <c r="R28" s="135">
        <f>Metrics!Q6</f>
        <v>0.47135156249999993</v>
      </c>
      <c r="S28" s="135">
        <f>Metrics!R6</f>
        <v>0.51848671875000019</v>
      </c>
      <c r="T28" s="136">
        <f>Metrics!S6</f>
        <v>0.54441105468750006</v>
      </c>
    </row>
    <row r="29" spans="1:20" s="26" customFormat="1" ht="11" thickBot="1" x14ac:dyDescent="0.3">
      <c r="A29" s="28"/>
      <c r="B29" s="2"/>
      <c r="C29" s="2"/>
      <c r="D29" s="2"/>
      <c r="E29" s="2"/>
      <c r="F29" s="2"/>
      <c r="G29" s="2"/>
      <c r="H29" s="1" t="s">
        <v>69</v>
      </c>
      <c r="I29" s="2"/>
      <c r="J29" s="59"/>
      <c r="K29" s="59"/>
      <c r="L29" s="59"/>
      <c r="M29" s="59"/>
      <c r="N29" s="59"/>
      <c r="O29" s="66" t="s">
        <v>129</v>
      </c>
      <c r="P29" s="38">
        <f>Metrics!O9</f>
        <v>105.52941176470588</v>
      </c>
      <c r="Q29" s="38">
        <f>Metrics!P9</f>
        <v>105.5294117647059</v>
      </c>
      <c r="R29" s="38">
        <f>Metrics!Q9</f>
        <v>105.5294117647059</v>
      </c>
      <c r="S29" s="38">
        <f>Metrics!R9</f>
        <v>105.52941176470588</v>
      </c>
      <c r="T29" s="137">
        <f>Metrics!S9</f>
        <v>105.52941176470587</v>
      </c>
    </row>
    <row r="30" spans="1:20" s="26" customFormat="1" ht="10.5" customHeight="1" thickTop="1" x14ac:dyDescent="0.25">
      <c r="A30" s="149" t="s">
        <v>219</v>
      </c>
      <c r="B30" s="150"/>
      <c r="C30" s="150"/>
      <c r="D30" s="150"/>
      <c r="E30" s="150"/>
      <c r="F30" s="151"/>
      <c r="G30" s="2"/>
      <c r="H30" s="141" t="s">
        <v>196</v>
      </c>
      <c r="I30" s="50">
        <v>8.5</v>
      </c>
      <c r="J30" s="139"/>
      <c r="K30" s="139"/>
      <c r="L30" s="139"/>
      <c r="M30" s="139"/>
      <c r="N30" s="59"/>
      <c r="O30" s="66" t="s">
        <v>143</v>
      </c>
      <c r="P30" s="38">
        <f>'P&amp;L'!O13/B10</f>
        <v>121274.4</v>
      </c>
      <c r="Q30" s="38">
        <f>'P&amp;L'!P13/C10</f>
        <v>141486.80000000002</v>
      </c>
      <c r="R30" s="38">
        <f>'P&amp;L'!Q13/D10</f>
        <v>137949.63</v>
      </c>
      <c r="S30" s="38">
        <f>'P&amp;L'!R13/E10</f>
        <v>151744.59300000002</v>
      </c>
      <c r="T30" s="137">
        <f>'P&amp;L'!S13/F10</f>
        <v>159331.82264999999</v>
      </c>
    </row>
    <row r="31" spans="1:20" s="26" customFormat="1" x14ac:dyDescent="0.25">
      <c r="A31" s="152"/>
      <c r="B31" s="153"/>
      <c r="C31" s="153"/>
      <c r="D31" s="153"/>
      <c r="E31" s="153"/>
      <c r="F31" s="154"/>
      <c r="G31" s="2"/>
      <c r="H31" s="92" t="s">
        <v>197</v>
      </c>
      <c r="I31" s="75">
        <v>0.75</v>
      </c>
      <c r="J31" s="76">
        <v>0.75</v>
      </c>
      <c r="K31" s="76">
        <v>0.75</v>
      </c>
      <c r="L31" s="76">
        <v>0.75</v>
      </c>
      <c r="M31" s="76">
        <v>0.75</v>
      </c>
      <c r="N31" s="59"/>
      <c r="O31" s="66" t="s">
        <v>140</v>
      </c>
      <c r="P31" s="38">
        <f>Metrics!O11</f>
        <v>151.59299999999999</v>
      </c>
      <c r="Q31" s="38">
        <f>Metrics!P11</f>
        <v>212.23020000000002</v>
      </c>
      <c r="R31" s="38">
        <f>Metrics!Q11</f>
        <v>275.89926000000003</v>
      </c>
      <c r="S31" s="38">
        <f>Metrics!R11</f>
        <v>202.32612400000002</v>
      </c>
      <c r="T31" s="137">
        <f>Metrics!S11</f>
        <v>212.44243019999999</v>
      </c>
    </row>
    <row r="32" spans="1:20" x14ac:dyDescent="0.25">
      <c r="A32" s="152"/>
      <c r="B32" s="153"/>
      <c r="C32" s="153"/>
      <c r="D32" s="153"/>
      <c r="E32" s="153"/>
      <c r="F32" s="154"/>
      <c r="H32" s="92" t="s">
        <v>198</v>
      </c>
      <c r="I32" s="118">
        <f>Metrics!O6</f>
        <v>0.41437499999999999</v>
      </c>
      <c r="J32" s="118">
        <f>Metrics!P6</f>
        <v>0.48343749999999996</v>
      </c>
      <c r="K32" s="118">
        <f>Metrics!Q6</f>
        <v>0.47135156249999993</v>
      </c>
      <c r="L32" s="118">
        <f>Metrics!R6</f>
        <v>0.51848671875000019</v>
      </c>
      <c r="M32" s="118">
        <f>Metrics!S6</f>
        <v>0.54441105468750006</v>
      </c>
      <c r="N32" s="59"/>
      <c r="O32" s="66" t="s">
        <v>130</v>
      </c>
      <c r="P32" s="38">
        <f>Metrics!O14</f>
        <v>51.171040723981896</v>
      </c>
      <c r="Q32" s="38">
        <f>Metrics!P14</f>
        <v>52.41628959276018</v>
      </c>
      <c r="R32" s="38">
        <f>Metrics!Q14</f>
        <v>57.854905275719759</v>
      </c>
      <c r="S32" s="38">
        <f>Metrics!R14</f>
        <v>52.595368432472497</v>
      </c>
      <c r="T32" s="137">
        <f>Metrics!S14</f>
        <v>50.090827078545246</v>
      </c>
    </row>
    <row r="33" spans="1:20" x14ac:dyDescent="0.25">
      <c r="A33" s="152"/>
      <c r="B33" s="153"/>
      <c r="C33" s="153"/>
      <c r="D33" s="153"/>
      <c r="E33" s="153"/>
      <c r="F33" s="154"/>
      <c r="H33" s="1" t="s">
        <v>18</v>
      </c>
      <c r="N33" s="59"/>
      <c r="O33" s="64" t="s">
        <v>131</v>
      </c>
      <c r="P33" s="38">
        <f>Metrics!O15</f>
        <v>12.691618517229378</v>
      </c>
      <c r="Q33" s="38">
        <f>Metrics!P15</f>
        <v>11.574015513897869</v>
      </c>
      <c r="R33" s="38">
        <f>Metrics!Q15</f>
        <v>11.195118392919301</v>
      </c>
      <c r="S33" s="38">
        <f>Metrics!R15</f>
        <v>11.195118392919298</v>
      </c>
      <c r="T33" s="137">
        <f>Metrics!S15</f>
        <v>11.195118392919301</v>
      </c>
    </row>
    <row r="34" spans="1:20" ht="11" thickBot="1" x14ac:dyDescent="0.3">
      <c r="A34" s="155"/>
      <c r="B34" s="156"/>
      <c r="C34" s="156"/>
      <c r="D34" s="156"/>
      <c r="E34" s="156"/>
      <c r="F34" s="157"/>
      <c r="H34" s="92" t="s">
        <v>199</v>
      </c>
      <c r="I34" s="55"/>
      <c r="J34" s="15">
        <v>0.9</v>
      </c>
      <c r="K34" s="15">
        <v>0.9</v>
      </c>
      <c r="L34" s="15">
        <v>0.9</v>
      </c>
      <c r="M34" s="15">
        <v>0.9</v>
      </c>
      <c r="N34" s="59"/>
      <c r="O34" s="64" t="s">
        <v>132</v>
      </c>
      <c r="P34" s="38">
        <f>Metrics!O16</f>
        <v>27.85938043856596</v>
      </c>
      <c r="Q34" s="38">
        <f>Metrics!P16</f>
        <v>20.253095320968626</v>
      </c>
      <c r="R34" s="38">
        <f>Metrics!Q16</f>
        <v>15.80774394418669</v>
      </c>
      <c r="S34" s="38">
        <f>Metrics!R16</f>
        <v>14.939493920628619</v>
      </c>
      <c r="T34" s="137">
        <f>Metrics!S16</f>
        <v>14.334022248449177</v>
      </c>
    </row>
    <row r="35" spans="1:20" ht="11" thickTop="1" x14ac:dyDescent="0.25">
      <c r="A35" s="148"/>
      <c r="B35" s="148"/>
      <c r="C35" s="148"/>
      <c r="D35" s="148"/>
      <c r="E35" s="148"/>
      <c r="F35" s="148"/>
      <c r="H35" s="1" t="s">
        <v>35</v>
      </c>
      <c r="I35" s="16"/>
      <c r="J35" s="16"/>
      <c r="K35" s="16"/>
      <c r="L35" s="16"/>
      <c r="M35" s="16"/>
      <c r="N35" s="59"/>
      <c r="O35" s="64" t="s">
        <v>133</v>
      </c>
      <c r="P35" s="38">
        <f>Metrics!O17</f>
        <v>91.722039679777225</v>
      </c>
      <c r="Q35" s="38">
        <f>Metrics!P17</f>
        <v>84.243400427626682</v>
      </c>
      <c r="R35" s="38">
        <f>Metrics!Q17</f>
        <v>84.857767612825754</v>
      </c>
      <c r="S35" s="38">
        <f>Metrics!R17</f>
        <v>78.729980746020416</v>
      </c>
      <c r="T35" s="137">
        <f>Metrics!S17</f>
        <v>75.619967719913731</v>
      </c>
    </row>
    <row r="36" spans="1:20" x14ac:dyDescent="0.25">
      <c r="H36" s="92" t="s">
        <v>200</v>
      </c>
      <c r="I36" s="14">
        <v>40</v>
      </c>
      <c r="J36" s="14">
        <v>40</v>
      </c>
      <c r="K36" s="14">
        <v>40</v>
      </c>
      <c r="L36" s="14">
        <v>40</v>
      </c>
      <c r="M36" s="14">
        <v>40</v>
      </c>
      <c r="N36" s="59"/>
      <c r="O36" s="65" t="s">
        <v>141</v>
      </c>
      <c r="P36" s="143">
        <f>Metrics!O20</f>
        <v>13.807372084928652</v>
      </c>
      <c r="Q36" s="143">
        <f>Metrics!P20</f>
        <v>21.286011337079216</v>
      </c>
      <c r="R36" s="143">
        <f>Metrics!Q20</f>
        <v>20.671644151880141</v>
      </c>
      <c r="S36" s="143">
        <f>Metrics!R20</f>
        <v>26.799431018685471</v>
      </c>
      <c r="T36" s="144">
        <f>Metrics!S20</f>
        <v>29.909444044792146</v>
      </c>
    </row>
    <row r="37" spans="1:20" x14ac:dyDescent="0.25">
      <c r="H37" s="92" t="s">
        <v>201</v>
      </c>
      <c r="I37" s="2">
        <f>I36*52</f>
        <v>2080</v>
      </c>
      <c r="J37" s="2">
        <f>J36*52</f>
        <v>2080</v>
      </c>
      <c r="K37" s="2">
        <f>K36*52</f>
        <v>2080</v>
      </c>
      <c r="L37" s="2">
        <f>L36*52</f>
        <v>2080</v>
      </c>
      <c r="M37" s="2">
        <f>M36*52</f>
        <v>2080</v>
      </c>
      <c r="N37" s="59"/>
    </row>
    <row r="38" spans="1:20" x14ac:dyDescent="0.25">
      <c r="H38" s="92" t="s">
        <v>202</v>
      </c>
      <c r="I38" s="60">
        <f>I37/12</f>
        <v>173.33333333333334</v>
      </c>
      <c r="J38" s="60">
        <f>J37/12</f>
        <v>173.33333333333334</v>
      </c>
      <c r="K38" s="60">
        <f>K37/12</f>
        <v>173.33333333333334</v>
      </c>
      <c r="L38" s="60">
        <f>L37/12</f>
        <v>173.33333333333334</v>
      </c>
      <c r="M38" s="60">
        <f>M37/12</f>
        <v>173.33333333333334</v>
      </c>
      <c r="N38" s="59"/>
    </row>
    <row r="39" spans="1:20" x14ac:dyDescent="0.25">
      <c r="H39" s="92" t="s">
        <v>203</v>
      </c>
      <c r="I39" s="6">
        <v>1000</v>
      </c>
      <c r="J39" s="6">
        <v>1000</v>
      </c>
      <c r="K39" s="6">
        <v>1000</v>
      </c>
      <c r="L39" s="6">
        <v>1500</v>
      </c>
      <c r="M39" s="6">
        <v>1500</v>
      </c>
      <c r="N39" s="59"/>
    </row>
    <row r="40" spans="1:20" x14ac:dyDescent="0.25">
      <c r="N40" s="59"/>
    </row>
    <row r="41" spans="1:20" x14ac:dyDescent="0.25">
      <c r="N41" s="59"/>
    </row>
    <row r="42" spans="1:20" x14ac:dyDescent="0.25">
      <c r="N42" s="59"/>
    </row>
    <row r="43" spans="1:20" x14ac:dyDescent="0.25">
      <c r="N43" s="59"/>
    </row>
    <row r="44" spans="1:20" x14ac:dyDescent="0.25">
      <c r="N44" s="59"/>
    </row>
    <row r="48" spans="1:20" x14ac:dyDescent="0.25">
      <c r="N48" s="59"/>
    </row>
  </sheetData>
  <mergeCells count="1">
    <mergeCell ref="A30:F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"/>
  <sheetViews>
    <sheetView zoomScaleNormal="10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5.81640625" defaultRowHeight="10.5" x14ac:dyDescent="0.25"/>
  <cols>
    <col min="1" max="1" width="12.54296875" style="2" bestFit="1" customWidth="1"/>
    <col min="2" max="10" width="5.7265625" style="2" bestFit="1" customWidth="1"/>
    <col min="11" max="13" width="5.81640625" style="2" bestFit="1" customWidth="1"/>
    <col min="14" max="14" width="2.7265625" style="26" customWidth="1"/>
    <col min="15" max="15" width="5.81640625" style="1" bestFit="1" customWidth="1"/>
    <col min="16" max="19" width="5.7265625" style="1" customWidth="1"/>
    <col min="20" max="20" width="2.7265625" style="1" customWidth="1"/>
    <col min="21" max="21" width="6.54296875" style="8" bestFit="1" customWidth="1"/>
    <col min="22" max="25" width="6.54296875" style="2" bestFit="1" customWidth="1"/>
    <col min="26" max="16384" width="5.81640625" style="2"/>
  </cols>
  <sheetData>
    <row r="1" spans="1:25" s="5" customFormat="1" x14ac:dyDescent="0.25"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80"/>
      <c r="O1" s="5" t="s">
        <v>23</v>
      </c>
      <c r="P1" s="5" t="s">
        <v>25</v>
      </c>
      <c r="Q1" s="5" t="s">
        <v>27</v>
      </c>
      <c r="R1" s="5" t="s">
        <v>29</v>
      </c>
      <c r="S1" s="5" t="s">
        <v>31</v>
      </c>
      <c r="U1" s="17" t="s">
        <v>24</v>
      </c>
      <c r="V1" s="17" t="s">
        <v>26</v>
      </c>
      <c r="W1" s="17" t="s">
        <v>28</v>
      </c>
      <c r="X1" s="17" t="s">
        <v>30</v>
      </c>
      <c r="Y1" s="17" t="s">
        <v>32</v>
      </c>
    </row>
    <row r="2" spans="1:25" x14ac:dyDescent="0.25">
      <c r="A2" s="2" t="s">
        <v>214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1"/>
      <c r="O2" s="2"/>
      <c r="P2" s="2"/>
      <c r="Q2" s="2"/>
      <c r="R2" s="2"/>
      <c r="S2" s="2"/>
      <c r="T2" s="2"/>
    </row>
    <row r="3" spans="1:25" x14ac:dyDescent="0.25">
      <c r="A3" s="2" t="s">
        <v>3</v>
      </c>
      <c r="B3" s="6">
        <v>6</v>
      </c>
      <c r="C3" s="6">
        <v>10</v>
      </c>
      <c r="D3" s="6">
        <v>12</v>
      </c>
      <c r="E3" s="6">
        <v>13</v>
      </c>
      <c r="F3" s="6">
        <v>14</v>
      </c>
      <c r="G3" s="6">
        <v>16</v>
      </c>
      <c r="H3" s="6">
        <v>14</v>
      </c>
      <c r="I3" s="6">
        <v>16</v>
      </c>
      <c r="J3" s="6">
        <v>16</v>
      </c>
      <c r="K3" s="6">
        <v>16</v>
      </c>
      <c r="L3" s="6">
        <v>18</v>
      </c>
      <c r="M3" s="6">
        <v>18</v>
      </c>
      <c r="N3" s="81"/>
      <c r="O3" s="12">
        <f>SUM(B3:M3)</f>
        <v>169</v>
      </c>
      <c r="P3" s="12">
        <f>O3*(1+Assumptions!C$2)</f>
        <v>236.6</v>
      </c>
      <c r="Q3" s="12">
        <f>P3*(1+Assumptions!D$2)</f>
        <v>307.58</v>
      </c>
      <c r="R3" s="12">
        <f>Q3*(1+Assumptions!E$2)</f>
        <v>338.33800000000002</v>
      </c>
      <c r="S3" s="12">
        <f>R3*(1+Assumptions!F$2)</f>
        <v>355.25490000000002</v>
      </c>
      <c r="T3" s="12"/>
      <c r="U3" s="8">
        <f>O3/O5</f>
        <v>0.11764705882352941</v>
      </c>
      <c r="V3" s="8">
        <f>P3/P5</f>
        <v>0.11764705882352941</v>
      </c>
      <c r="W3" s="8">
        <f>Q3/Q5</f>
        <v>0.11764705882352941</v>
      </c>
      <c r="X3" s="8">
        <f>R3/R5</f>
        <v>0.1176470588235294</v>
      </c>
      <c r="Y3" s="8">
        <f>S3/S5</f>
        <v>0.11764705882352941</v>
      </c>
    </row>
    <row r="4" spans="1:25" s="3" customFormat="1" x14ac:dyDescent="0.25">
      <c r="A4" s="3" t="s">
        <v>2</v>
      </c>
      <c r="B4" s="9">
        <f>B3*Assumptions!$I$30-B3</f>
        <v>45</v>
      </c>
      <c r="C4" s="9">
        <f>C3*Assumptions!$I$30-C3</f>
        <v>75</v>
      </c>
      <c r="D4" s="9">
        <f>D3*Assumptions!$I$30-D3</f>
        <v>90</v>
      </c>
      <c r="E4" s="9">
        <f>E3*Assumptions!$I$30-E3</f>
        <v>97.5</v>
      </c>
      <c r="F4" s="9">
        <f>F3*Assumptions!$I$30-F3</f>
        <v>105</v>
      </c>
      <c r="G4" s="9">
        <f>G3*Assumptions!$I$30-G3</f>
        <v>120</v>
      </c>
      <c r="H4" s="9">
        <f>H3*Assumptions!$I$30-H3</f>
        <v>105</v>
      </c>
      <c r="I4" s="9">
        <f>I3*Assumptions!$I$30-I3</f>
        <v>120</v>
      </c>
      <c r="J4" s="9">
        <f>J3*Assumptions!$I$30-J3</f>
        <v>120</v>
      </c>
      <c r="K4" s="9">
        <f>K3*Assumptions!$I$30-K3</f>
        <v>120</v>
      </c>
      <c r="L4" s="9">
        <f>L3*Assumptions!$I$30-L3</f>
        <v>135</v>
      </c>
      <c r="M4" s="9">
        <f>M3*Assumptions!$I$30-M3</f>
        <v>135</v>
      </c>
      <c r="N4" s="82"/>
      <c r="O4" s="13">
        <f>SUM(B4:M4)</f>
        <v>1267.5</v>
      </c>
      <c r="P4" s="13">
        <f>O4*(1+Assumptions!C$2)</f>
        <v>1774.5</v>
      </c>
      <c r="Q4" s="13">
        <f>P4*(1+Assumptions!D$2)</f>
        <v>2306.85</v>
      </c>
      <c r="R4" s="13">
        <f>Q4*(1+Assumptions!E$2)</f>
        <v>2537.5350000000003</v>
      </c>
      <c r="S4" s="13">
        <f>R4*(1+Assumptions!F$2)</f>
        <v>2664.4117500000002</v>
      </c>
      <c r="T4" s="13"/>
      <c r="U4" s="10">
        <f>O4/O5</f>
        <v>0.88235294117647056</v>
      </c>
      <c r="V4" s="10">
        <f>P4/P5</f>
        <v>0.88235294117647067</v>
      </c>
      <c r="W4" s="10">
        <f>Q4/Q5</f>
        <v>0.88235294117647056</v>
      </c>
      <c r="X4" s="10">
        <f>R4/R5</f>
        <v>0.88235294117647056</v>
      </c>
      <c r="Y4" s="10">
        <f>S4/S5</f>
        <v>0.88235294117647067</v>
      </c>
    </row>
    <row r="5" spans="1:25" x14ac:dyDescent="0.25">
      <c r="A5" s="2" t="s">
        <v>215</v>
      </c>
      <c r="B5" s="11">
        <f>SUM(B3:B4)</f>
        <v>51</v>
      </c>
      <c r="C5" s="11">
        <f t="shared" ref="C5:M5" si="0">SUM(C3:C4)</f>
        <v>85</v>
      </c>
      <c r="D5" s="11">
        <f t="shared" si="0"/>
        <v>102</v>
      </c>
      <c r="E5" s="11">
        <f t="shared" si="0"/>
        <v>110.5</v>
      </c>
      <c r="F5" s="11">
        <f t="shared" si="0"/>
        <v>119</v>
      </c>
      <c r="G5" s="11">
        <f t="shared" si="0"/>
        <v>136</v>
      </c>
      <c r="H5" s="11">
        <f t="shared" si="0"/>
        <v>119</v>
      </c>
      <c r="I5" s="11">
        <f>SUM(I3:I4)</f>
        <v>136</v>
      </c>
      <c r="J5" s="11">
        <f t="shared" si="0"/>
        <v>136</v>
      </c>
      <c r="K5" s="11">
        <f t="shared" si="0"/>
        <v>136</v>
      </c>
      <c r="L5" s="11">
        <f t="shared" si="0"/>
        <v>153</v>
      </c>
      <c r="M5" s="11">
        <f t="shared" si="0"/>
        <v>153</v>
      </c>
      <c r="N5" s="81"/>
      <c r="O5" s="12">
        <f>SUM(O3:O4)</f>
        <v>1436.5</v>
      </c>
      <c r="P5" s="12">
        <f>SUM(P3:P4)</f>
        <v>2011.1</v>
      </c>
      <c r="Q5" s="12">
        <f>SUM(Q3:Q4)</f>
        <v>2614.4299999999998</v>
      </c>
      <c r="R5" s="12">
        <f>SUM(R3:R4)</f>
        <v>2875.8730000000005</v>
      </c>
      <c r="S5" s="12">
        <f>SUM(S3:S4)</f>
        <v>3019.6666500000001</v>
      </c>
      <c r="T5" s="12"/>
      <c r="U5" s="8">
        <f>O5/O5</f>
        <v>1</v>
      </c>
      <c r="V5" s="8">
        <f>P5/P5</f>
        <v>1</v>
      </c>
      <c r="W5" s="8">
        <f>Q5/Q5</f>
        <v>1</v>
      </c>
      <c r="X5" s="8">
        <f>R5/R5</f>
        <v>1</v>
      </c>
      <c r="Y5" s="8">
        <f>S5/S5</f>
        <v>1</v>
      </c>
    </row>
    <row r="6" spans="1:25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84"/>
      <c r="O6" s="51"/>
      <c r="P6" s="51"/>
      <c r="Q6" s="51"/>
      <c r="R6" s="51"/>
      <c r="S6" s="51"/>
      <c r="T6" s="51"/>
      <c r="U6" s="2"/>
    </row>
    <row r="7" spans="1:25" x14ac:dyDescent="0.25">
      <c r="A7" s="2" t="s">
        <v>209</v>
      </c>
      <c r="B7" s="145">
        <f>B3*12/52</f>
        <v>1.3846153846153846</v>
      </c>
      <c r="C7" s="145">
        <f t="shared" ref="C7:M7" si="1">C3*12/52</f>
        <v>2.3076923076923075</v>
      </c>
      <c r="D7" s="145">
        <f t="shared" si="1"/>
        <v>2.7692307692307692</v>
      </c>
      <c r="E7" s="145">
        <f t="shared" si="1"/>
        <v>3</v>
      </c>
      <c r="F7" s="145">
        <f t="shared" si="1"/>
        <v>3.2307692307692308</v>
      </c>
      <c r="G7" s="145">
        <f t="shared" si="1"/>
        <v>3.6923076923076925</v>
      </c>
      <c r="H7" s="145">
        <f t="shared" si="1"/>
        <v>3.2307692307692308</v>
      </c>
      <c r="I7" s="145">
        <f>I3*12/52</f>
        <v>3.6923076923076925</v>
      </c>
      <c r="J7" s="145">
        <f>J3*12/52</f>
        <v>3.6923076923076925</v>
      </c>
      <c r="K7" s="145">
        <f t="shared" si="1"/>
        <v>3.6923076923076925</v>
      </c>
      <c r="L7" s="145">
        <f t="shared" si="1"/>
        <v>4.1538461538461542</v>
      </c>
      <c r="M7" s="145">
        <f t="shared" si="1"/>
        <v>4.1538461538461542</v>
      </c>
      <c r="N7" s="146"/>
      <c r="O7" s="145">
        <f>O3/52</f>
        <v>3.25</v>
      </c>
      <c r="P7" s="145">
        <f>P3/52</f>
        <v>4.55</v>
      </c>
      <c r="Q7" s="145">
        <f>Q3/52</f>
        <v>5.915</v>
      </c>
      <c r="R7" s="145">
        <f>R3/52</f>
        <v>6.5065000000000008</v>
      </c>
      <c r="S7" s="145">
        <f>S3/52</f>
        <v>6.8318250000000003</v>
      </c>
      <c r="T7" s="2"/>
      <c r="U7" s="2"/>
    </row>
    <row r="8" spans="1:25" s="4" customFormat="1" x14ac:dyDescent="0.25">
      <c r="N8" s="85"/>
    </row>
    <row r="9" spans="1:25" s="4" customFormat="1" x14ac:dyDescent="0.25">
      <c r="N9" s="85"/>
    </row>
    <row r="10" spans="1:25" s="4" customFormat="1" x14ac:dyDescent="0.25">
      <c r="N10" s="85"/>
    </row>
    <row r="11" spans="1:25" s="4" customFormat="1" x14ac:dyDescent="0.25">
      <c r="N11" s="85"/>
    </row>
    <row r="12" spans="1:25" s="4" customFormat="1" x14ac:dyDescent="0.25">
      <c r="N12" s="85"/>
    </row>
    <row r="13" spans="1:25" s="4" customForma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83"/>
      <c r="O13" s="20"/>
      <c r="P13" s="20"/>
      <c r="Q13" s="20"/>
      <c r="R13" s="20"/>
      <c r="S13" s="20"/>
      <c r="T13" s="20"/>
      <c r="U13" s="21"/>
      <c r="V13" s="22"/>
    </row>
    <row r="14" spans="1:25" s="4" customForma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83"/>
      <c r="O14" s="20"/>
      <c r="P14" s="20"/>
      <c r="Q14" s="20"/>
      <c r="R14" s="20"/>
      <c r="S14" s="20"/>
      <c r="T14" s="20"/>
      <c r="U14" s="21"/>
      <c r="V14" s="22"/>
    </row>
    <row r="15" spans="1:25" s="4" customForma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3"/>
      <c r="O15" s="20"/>
      <c r="P15" s="20"/>
      <c r="Q15" s="20"/>
      <c r="R15" s="20"/>
      <c r="S15" s="20"/>
      <c r="T15" s="20"/>
      <c r="U15" s="21"/>
      <c r="V15" s="22"/>
    </row>
    <row r="16" spans="1:25" s="23" customForma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6"/>
      <c r="O16" s="20"/>
      <c r="P16" s="20"/>
      <c r="Q16" s="20"/>
      <c r="R16" s="20"/>
      <c r="S16" s="20"/>
      <c r="T16" s="20"/>
      <c r="U16" s="25"/>
      <c r="V16" s="20"/>
    </row>
    <row r="17" spans="2:22" s="4" customForma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3"/>
      <c r="O17" s="20"/>
      <c r="P17" s="20"/>
      <c r="Q17" s="20"/>
      <c r="R17" s="20"/>
      <c r="S17" s="20"/>
      <c r="T17" s="20"/>
      <c r="U17" s="21"/>
      <c r="V17" s="22"/>
    </row>
    <row r="18" spans="2:22" s="4" customForma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3"/>
      <c r="O18" s="20"/>
      <c r="P18" s="20"/>
      <c r="Q18" s="20"/>
      <c r="R18" s="20"/>
      <c r="S18" s="20"/>
      <c r="T18" s="20"/>
      <c r="U18" s="21"/>
      <c r="V18" s="22"/>
    </row>
    <row r="19" spans="2:22" s="4" customForma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3"/>
      <c r="O19" s="20"/>
      <c r="P19" s="20"/>
      <c r="Q19" s="20"/>
      <c r="R19" s="20"/>
      <c r="S19" s="20"/>
      <c r="T19" s="20"/>
      <c r="U19" s="21"/>
      <c r="V19" s="22"/>
    </row>
    <row r="20" spans="2:22" s="4" customForma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3"/>
      <c r="O20" s="20"/>
      <c r="P20" s="20"/>
      <c r="Q20" s="20"/>
      <c r="R20" s="20"/>
      <c r="S20" s="20"/>
      <c r="T20" s="20"/>
      <c r="U20" s="21"/>
      <c r="V20" s="22"/>
    </row>
    <row r="21" spans="2:22" s="4" customForma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3"/>
      <c r="O21" s="20"/>
      <c r="P21" s="20"/>
      <c r="Q21" s="20"/>
      <c r="R21" s="20"/>
      <c r="S21" s="20"/>
      <c r="T21" s="20"/>
      <c r="U21" s="21"/>
      <c r="V21" s="22"/>
    </row>
    <row r="22" spans="2:22" s="4" customForma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3"/>
      <c r="O22" s="20"/>
      <c r="P22" s="20"/>
      <c r="Q22" s="20"/>
      <c r="R22" s="20"/>
      <c r="S22" s="20"/>
      <c r="T22" s="20"/>
      <c r="U22" s="21"/>
      <c r="V22" s="22"/>
    </row>
    <row r="23" spans="2:22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1"/>
      <c r="O23" s="7"/>
      <c r="P23" s="7"/>
      <c r="Q23" s="7"/>
      <c r="R23" s="7"/>
      <c r="S23" s="7"/>
      <c r="T23" s="7"/>
      <c r="V23" s="12"/>
    </row>
    <row r="24" spans="2:22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7"/>
      <c r="O24" s="7"/>
      <c r="P24" s="7"/>
      <c r="Q24" s="7"/>
      <c r="R24" s="7"/>
      <c r="S24" s="7"/>
      <c r="T24" s="7"/>
    </row>
    <row r="25" spans="2:22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1"/>
      <c r="O25" s="7"/>
      <c r="P25" s="7"/>
      <c r="Q25" s="7"/>
      <c r="R25" s="7"/>
      <c r="S25" s="7"/>
      <c r="T25" s="7"/>
    </row>
  </sheetData>
  <sheetProtection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5.81640625" defaultRowHeight="10.5" x14ac:dyDescent="0.25"/>
  <cols>
    <col min="1" max="1" width="12.54296875" style="29" bestFit="1" customWidth="1"/>
    <col min="2" max="2" width="7.453125" style="33" bestFit="1" customWidth="1"/>
    <col min="3" max="4" width="6.1796875" style="33" bestFit="1" customWidth="1"/>
    <col min="5" max="13" width="6.54296875" style="33" bestFit="1" customWidth="1"/>
    <col min="14" max="14" width="2.7265625" style="33" customWidth="1"/>
    <col min="15" max="15" width="7.453125" style="32" bestFit="1" customWidth="1"/>
    <col min="16" max="19" width="7.453125" style="32" customWidth="1"/>
    <col min="20" max="20" width="2.7265625" style="32" customWidth="1"/>
    <col min="21" max="21" width="6" style="42" bestFit="1" customWidth="1"/>
    <col min="22" max="25" width="6" style="29" bestFit="1" customWidth="1"/>
    <col min="26" max="26" width="2.7265625" style="29" bestFit="1" customWidth="1"/>
    <col min="27" max="27" width="6" style="29" bestFit="1" customWidth="1"/>
    <col min="28" max="28" width="2.7265625" style="29" bestFit="1" customWidth="1"/>
    <col min="29" max="29" width="6" style="29" bestFit="1" customWidth="1"/>
    <col min="30" max="16384" width="5.81640625" style="29"/>
  </cols>
  <sheetData>
    <row r="1" spans="1:29" s="30" customFormat="1" x14ac:dyDescent="0.25">
      <c r="B1" s="31" t="s">
        <v>4</v>
      </c>
      <c r="C1" s="31" t="s">
        <v>5</v>
      </c>
      <c r="D1" s="31" t="s">
        <v>6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11</v>
      </c>
      <c r="J1" s="31" t="s">
        <v>12</v>
      </c>
      <c r="K1" s="31" t="s">
        <v>13</v>
      </c>
      <c r="L1" s="31" t="s">
        <v>14</v>
      </c>
      <c r="M1" s="31" t="s">
        <v>15</v>
      </c>
      <c r="N1" s="31"/>
      <c r="O1" s="5" t="s">
        <v>23</v>
      </c>
      <c r="P1" s="5" t="s">
        <v>25</v>
      </c>
      <c r="Q1" s="5" t="s">
        <v>27</v>
      </c>
      <c r="R1" s="5" t="s">
        <v>29</v>
      </c>
      <c r="S1" s="5" t="s">
        <v>31</v>
      </c>
      <c r="T1" s="5"/>
      <c r="U1" s="17" t="s">
        <v>93</v>
      </c>
      <c r="V1" s="17" t="s">
        <v>94</v>
      </c>
      <c r="W1" s="17" t="s">
        <v>95</v>
      </c>
      <c r="X1" s="17" t="s">
        <v>96</v>
      </c>
      <c r="Y1" s="17" t="s">
        <v>97</v>
      </c>
      <c r="Z1" s="5"/>
      <c r="AA1" s="5"/>
      <c r="AB1" s="5"/>
      <c r="AC1" s="5"/>
    </row>
    <row r="2" spans="1:29" x14ac:dyDescent="0.25">
      <c r="A2" s="29" t="s">
        <v>214</v>
      </c>
      <c r="O2" s="33"/>
      <c r="P2" s="33"/>
      <c r="Q2" s="33"/>
      <c r="R2" s="33"/>
      <c r="S2" s="33"/>
      <c r="T2" s="33"/>
    </row>
    <row r="3" spans="1:29" x14ac:dyDescent="0.25">
      <c r="A3" s="29" t="s">
        <v>3</v>
      </c>
      <c r="B3" s="33">
        <f>Volume!B3*Assumptions!$B$4</f>
        <v>1440</v>
      </c>
      <c r="C3" s="33">
        <f>Volume!C3*Assumptions!$B$4</f>
        <v>2400</v>
      </c>
      <c r="D3" s="33">
        <f>Volume!D3*Assumptions!$B$4</f>
        <v>2880</v>
      </c>
      <c r="E3" s="33">
        <f>Volume!E3*Assumptions!$B$4</f>
        <v>3120</v>
      </c>
      <c r="F3" s="33">
        <f>Volume!F3*Assumptions!$B$4</f>
        <v>3360</v>
      </c>
      <c r="G3" s="33">
        <f>Volume!G3*Assumptions!$B$4</f>
        <v>3840</v>
      </c>
      <c r="H3" s="33">
        <f>Volume!H3*Assumptions!$B$4</f>
        <v>3360</v>
      </c>
      <c r="I3" s="33">
        <f>Volume!I3*Assumptions!$B$4</f>
        <v>3840</v>
      </c>
      <c r="J3" s="33">
        <f>Volume!J3*Assumptions!$B$4</f>
        <v>3840</v>
      </c>
      <c r="K3" s="33">
        <f>Volume!K3*Assumptions!$B$4</f>
        <v>3840</v>
      </c>
      <c r="L3" s="33">
        <f>Volume!L3*Assumptions!$B$4</f>
        <v>4320</v>
      </c>
      <c r="M3" s="33">
        <f>Volume!M3*Assumptions!$B$4</f>
        <v>4320</v>
      </c>
      <c r="O3" s="33">
        <f>SUM(B3:M3)</f>
        <v>40560</v>
      </c>
      <c r="P3" s="33">
        <f>Volume!P3*Assumptions!C4</f>
        <v>56784</v>
      </c>
      <c r="Q3" s="33">
        <f>Volume!Q3*Assumptions!D4</f>
        <v>73819.199999999997</v>
      </c>
      <c r="R3" s="33">
        <f>Volume!R3*Assumptions!E4</f>
        <v>81201.12000000001</v>
      </c>
      <c r="S3" s="33">
        <f>Volume!S3*Assumptions!F4</f>
        <v>85261.176000000007</v>
      </c>
      <c r="T3" s="33"/>
      <c r="U3" s="42">
        <f t="shared" ref="U3:Y9" si="0">O3/O$5</f>
        <v>0.17391304347826086</v>
      </c>
      <c r="V3" s="42">
        <f t="shared" si="0"/>
        <v>0.17391304347826086</v>
      </c>
      <c r="W3" s="42">
        <f t="shared" si="0"/>
        <v>0.17391304347826086</v>
      </c>
      <c r="X3" s="42">
        <f t="shared" si="0"/>
        <v>0.17391304347826086</v>
      </c>
      <c r="Y3" s="42">
        <f t="shared" si="0"/>
        <v>0.17391304347826089</v>
      </c>
    </row>
    <row r="4" spans="1:29" s="34" customFormat="1" x14ac:dyDescent="0.25">
      <c r="A4" s="34" t="s">
        <v>2</v>
      </c>
      <c r="B4" s="35">
        <f>Volume!B4*Assumptions!$B$5</f>
        <v>6840</v>
      </c>
      <c r="C4" s="35">
        <f>Volume!C4*Assumptions!$B$5</f>
        <v>11400</v>
      </c>
      <c r="D4" s="35">
        <f>Volume!D4*Assumptions!$B$5</f>
        <v>13680</v>
      </c>
      <c r="E4" s="35">
        <f>Volume!E4*Assumptions!$B$5</f>
        <v>14820</v>
      </c>
      <c r="F4" s="35">
        <f>Volume!F4*Assumptions!$B$5</f>
        <v>15960</v>
      </c>
      <c r="G4" s="35">
        <f>Volume!G4*Assumptions!$B$5</f>
        <v>18240</v>
      </c>
      <c r="H4" s="35">
        <f>Volume!H4*Assumptions!$B$5</f>
        <v>15960</v>
      </c>
      <c r="I4" s="35">
        <f>Volume!I4*Assumptions!$B$5</f>
        <v>18240</v>
      </c>
      <c r="J4" s="35">
        <f>Volume!J4*Assumptions!$B$5</f>
        <v>18240</v>
      </c>
      <c r="K4" s="35">
        <f>Volume!K4*Assumptions!$B$5</f>
        <v>18240</v>
      </c>
      <c r="L4" s="35">
        <f>Volume!L4*Assumptions!$B$5</f>
        <v>20520</v>
      </c>
      <c r="M4" s="35">
        <f>Volume!M4*Assumptions!$B$5</f>
        <v>20520</v>
      </c>
      <c r="N4" s="35"/>
      <c r="O4" s="35">
        <f>SUM(B4:M4)</f>
        <v>192660</v>
      </c>
      <c r="P4" s="35">
        <f>Volume!P4*Assumptions!C5</f>
        <v>269724</v>
      </c>
      <c r="Q4" s="35">
        <f>Volume!Q4*Assumptions!D5</f>
        <v>350641.2</v>
      </c>
      <c r="R4" s="35">
        <f>Volume!R4*Assumptions!E5</f>
        <v>385705.32000000007</v>
      </c>
      <c r="S4" s="35">
        <f>Volume!S4*Assumptions!F5</f>
        <v>404990.58600000001</v>
      </c>
      <c r="T4" s="35"/>
      <c r="U4" s="43">
        <f t="shared" si="0"/>
        <v>0.82608695652173914</v>
      </c>
      <c r="V4" s="43">
        <f t="shared" si="0"/>
        <v>0.82608695652173914</v>
      </c>
      <c r="W4" s="43">
        <f t="shared" si="0"/>
        <v>0.82608695652173914</v>
      </c>
      <c r="X4" s="43">
        <f t="shared" si="0"/>
        <v>0.82608695652173914</v>
      </c>
      <c r="Y4" s="43">
        <f t="shared" si="0"/>
        <v>0.82608695652173914</v>
      </c>
    </row>
    <row r="5" spans="1:29" s="36" customFormat="1" x14ac:dyDescent="0.25">
      <c r="A5" s="36" t="s">
        <v>17</v>
      </c>
      <c r="B5" s="37">
        <f>SUM(B3:B4)</f>
        <v>8280</v>
      </c>
      <c r="C5" s="37">
        <f t="shared" ref="C5:M5" si="1">SUM(C3:C4)</f>
        <v>13800</v>
      </c>
      <c r="D5" s="37">
        <f t="shared" si="1"/>
        <v>16560</v>
      </c>
      <c r="E5" s="37">
        <f t="shared" si="1"/>
        <v>17940</v>
      </c>
      <c r="F5" s="37">
        <f t="shared" si="1"/>
        <v>19320</v>
      </c>
      <c r="G5" s="37">
        <f t="shared" si="1"/>
        <v>22080</v>
      </c>
      <c r="H5" s="37">
        <f t="shared" si="1"/>
        <v>19320</v>
      </c>
      <c r="I5" s="37">
        <f t="shared" si="1"/>
        <v>22080</v>
      </c>
      <c r="J5" s="37">
        <f t="shared" si="1"/>
        <v>22080</v>
      </c>
      <c r="K5" s="37">
        <f t="shared" si="1"/>
        <v>22080</v>
      </c>
      <c r="L5" s="37">
        <f t="shared" si="1"/>
        <v>24840</v>
      </c>
      <c r="M5" s="37">
        <f t="shared" si="1"/>
        <v>24840</v>
      </c>
      <c r="N5" s="37"/>
      <c r="O5" s="37">
        <f>SUM(O3:O4)</f>
        <v>233220</v>
      </c>
      <c r="P5" s="37">
        <f>SUM(P3:P4)</f>
        <v>326508</v>
      </c>
      <c r="Q5" s="37">
        <f>SUM(Q3:Q4)</f>
        <v>424460.4</v>
      </c>
      <c r="R5" s="37">
        <f>SUM(R3:R4)</f>
        <v>466906.44000000006</v>
      </c>
      <c r="S5" s="37">
        <f>SUM(S3:S4)</f>
        <v>490251.76199999999</v>
      </c>
      <c r="T5" s="37"/>
      <c r="U5" s="44">
        <f t="shared" si="0"/>
        <v>1</v>
      </c>
      <c r="V5" s="44">
        <f t="shared" si="0"/>
        <v>1</v>
      </c>
      <c r="W5" s="44">
        <f t="shared" si="0"/>
        <v>1</v>
      </c>
      <c r="X5" s="44">
        <f t="shared" si="0"/>
        <v>1</v>
      </c>
      <c r="Y5" s="44">
        <f t="shared" si="0"/>
        <v>1</v>
      </c>
    </row>
    <row r="6" spans="1:29" x14ac:dyDescent="0.25">
      <c r="A6" s="29" t="s">
        <v>1</v>
      </c>
      <c r="B6" s="33">
        <f>-B5*Assumptions!$B$6</f>
        <v>-2815.2000000000003</v>
      </c>
      <c r="C6" s="33">
        <f>-C5*Assumptions!$B$6</f>
        <v>-4692</v>
      </c>
      <c r="D6" s="33">
        <f>-D5*Assumptions!$B$6</f>
        <v>-5630.4000000000005</v>
      </c>
      <c r="E6" s="33">
        <f>-E5*Assumptions!$B$6</f>
        <v>-6099.6</v>
      </c>
      <c r="F6" s="33">
        <f>-F5*Assumptions!$B$6</f>
        <v>-6568.8</v>
      </c>
      <c r="G6" s="33">
        <f>-G5*Assumptions!$B$6</f>
        <v>-7507.2000000000007</v>
      </c>
      <c r="H6" s="33">
        <f>-H5*Assumptions!$B$6</f>
        <v>-6568.8</v>
      </c>
      <c r="I6" s="33">
        <f>-I5*Assumptions!$B$6</f>
        <v>-7507.2000000000007</v>
      </c>
      <c r="J6" s="33">
        <f>-J5*Assumptions!$B$6</f>
        <v>-7507.2000000000007</v>
      </c>
      <c r="K6" s="33">
        <f>-K5*Assumptions!$B$6</f>
        <v>-7507.2000000000007</v>
      </c>
      <c r="L6" s="33">
        <f>-L5*Assumptions!$B$6</f>
        <v>-8445.6</v>
      </c>
      <c r="M6" s="33">
        <f>-M5*Assumptions!$B$6</f>
        <v>-8445.6</v>
      </c>
      <c r="O6" s="33">
        <f>-O5*Assumptions!B$6</f>
        <v>-79294.8</v>
      </c>
      <c r="P6" s="33">
        <f>-P5*Assumptions!C$6</f>
        <v>-111012.72</v>
      </c>
      <c r="Q6" s="33">
        <f>-Q5*Assumptions!D$6</f>
        <v>-144316.53600000002</v>
      </c>
      <c r="R6" s="33">
        <f>-R5*Assumptions!E$6</f>
        <v>-158748.18960000004</v>
      </c>
      <c r="S6" s="33">
        <f>-S5*Assumptions!F$6</f>
        <v>-166685.59908000001</v>
      </c>
      <c r="T6" s="33"/>
      <c r="U6" s="42">
        <f t="shared" si="0"/>
        <v>-0.34</v>
      </c>
      <c r="V6" s="42">
        <f t="shared" si="0"/>
        <v>-0.34</v>
      </c>
      <c r="W6" s="42">
        <f t="shared" si="0"/>
        <v>-0.34</v>
      </c>
      <c r="X6" s="42">
        <f t="shared" si="0"/>
        <v>-0.34</v>
      </c>
      <c r="Y6" s="42">
        <f t="shared" si="0"/>
        <v>-0.34</v>
      </c>
    </row>
    <row r="7" spans="1:29" x14ac:dyDescent="0.25">
      <c r="A7" s="29" t="s">
        <v>20</v>
      </c>
      <c r="B7" s="33">
        <f>-B5*Assumptions!$B$7</f>
        <v>-82.8</v>
      </c>
      <c r="C7" s="33">
        <f>-C5*Assumptions!$B$7</f>
        <v>-138</v>
      </c>
      <c r="D7" s="33">
        <f>-D5*Assumptions!$B$7</f>
        <v>-165.6</v>
      </c>
      <c r="E7" s="33">
        <f>-E5*Assumptions!$B$7</f>
        <v>-179.4</v>
      </c>
      <c r="F7" s="33">
        <f>-F5*Assumptions!$B$7</f>
        <v>-193.20000000000002</v>
      </c>
      <c r="G7" s="33">
        <f>-G5*Assumptions!$B$7</f>
        <v>-220.8</v>
      </c>
      <c r="H7" s="33">
        <f>-H5*Assumptions!$B$7</f>
        <v>-193.20000000000002</v>
      </c>
      <c r="I7" s="33">
        <f>-I5*Assumptions!$B$7</f>
        <v>-220.8</v>
      </c>
      <c r="J7" s="33">
        <f>-J5*Assumptions!$B$7</f>
        <v>-220.8</v>
      </c>
      <c r="K7" s="33">
        <f>-K5*Assumptions!$B$7</f>
        <v>-220.8</v>
      </c>
      <c r="L7" s="33">
        <f>-L5*Assumptions!$B$7</f>
        <v>-248.4</v>
      </c>
      <c r="M7" s="33">
        <f>-M5*Assumptions!$B$7</f>
        <v>-248.4</v>
      </c>
      <c r="O7" s="33">
        <f>-O5*Assumptions!B$7</f>
        <v>-2332.2000000000003</v>
      </c>
      <c r="P7" s="33">
        <f>-P5*Assumptions!C$7</f>
        <v>-3265.08</v>
      </c>
      <c r="Q7" s="33">
        <f>-Q5*Assumptions!D$7</f>
        <v>-4244.6040000000003</v>
      </c>
      <c r="R7" s="33">
        <f>-R5*Assumptions!E$7</f>
        <v>-4669.0644000000011</v>
      </c>
      <c r="S7" s="33">
        <f>-S5*Assumptions!F$7</f>
        <v>-4902.5176199999996</v>
      </c>
      <c r="T7" s="33"/>
      <c r="U7" s="42">
        <f t="shared" si="0"/>
        <v>-1.0000000000000002E-2</v>
      </c>
      <c r="V7" s="42">
        <f t="shared" si="0"/>
        <v>-0.01</v>
      </c>
      <c r="W7" s="42">
        <f t="shared" si="0"/>
        <v>-0.01</v>
      </c>
      <c r="X7" s="42">
        <f t="shared" si="0"/>
        <v>-1.0000000000000002E-2</v>
      </c>
      <c r="Y7" s="42">
        <f t="shared" si="0"/>
        <v>-0.01</v>
      </c>
    </row>
    <row r="8" spans="1:29" s="48" customFormat="1" ht="11" thickBot="1" x14ac:dyDescent="0.3">
      <c r="A8" s="48" t="s">
        <v>0</v>
      </c>
      <c r="B8" s="49">
        <f>SUM(B5:B7)</f>
        <v>5381.9999999999991</v>
      </c>
      <c r="C8" s="49">
        <f t="shared" ref="C8:O8" si="2">SUM(C5:C7)</f>
        <v>8970</v>
      </c>
      <c r="D8" s="49">
        <f t="shared" si="2"/>
        <v>10763.999999999998</v>
      </c>
      <c r="E8" s="49">
        <f t="shared" si="2"/>
        <v>11661</v>
      </c>
      <c r="F8" s="49">
        <f t="shared" si="2"/>
        <v>12558</v>
      </c>
      <c r="G8" s="49">
        <f t="shared" si="2"/>
        <v>14352</v>
      </c>
      <c r="H8" s="49">
        <f t="shared" si="2"/>
        <v>12558</v>
      </c>
      <c r="I8" s="49">
        <f t="shared" si="2"/>
        <v>14352</v>
      </c>
      <c r="J8" s="49">
        <f t="shared" si="2"/>
        <v>14352</v>
      </c>
      <c r="K8" s="49">
        <f t="shared" si="2"/>
        <v>14352</v>
      </c>
      <c r="L8" s="49">
        <f t="shared" si="2"/>
        <v>16146.000000000002</v>
      </c>
      <c r="M8" s="49">
        <f t="shared" si="2"/>
        <v>16146.000000000002</v>
      </c>
      <c r="N8" s="49"/>
      <c r="O8" s="49">
        <f t="shared" si="2"/>
        <v>151593</v>
      </c>
      <c r="P8" s="49">
        <f>SUM(P5:P7)</f>
        <v>212230.2</v>
      </c>
      <c r="Q8" s="49">
        <f>SUM(Q5:Q7)</f>
        <v>275899.26</v>
      </c>
      <c r="R8" s="49">
        <f>SUM(R5:R7)</f>
        <v>303489.18600000005</v>
      </c>
      <c r="S8" s="49">
        <f>SUM(S5:S7)</f>
        <v>318663.64529999997</v>
      </c>
      <c r="T8" s="49"/>
      <c r="U8" s="45">
        <f t="shared" si="0"/>
        <v>0.65</v>
      </c>
      <c r="V8" s="45">
        <f t="shared" si="0"/>
        <v>0.65</v>
      </c>
      <c r="W8" s="45">
        <f t="shared" si="0"/>
        <v>0.65</v>
      </c>
      <c r="X8" s="45">
        <f t="shared" si="0"/>
        <v>0.65</v>
      </c>
      <c r="Y8" s="45">
        <f t="shared" si="0"/>
        <v>0.64999999999999991</v>
      </c>
    </row>
    <row r="9" spans="1:29" ht="11" thickTop="1" x14ac:dyDescent="0.25">
      <c r="A9" s="29" t="s">
        <v>18</v>
      </c>
      <c r="B9" s="33">
        <v>0</v>
      </c>
      <c r="C9" s="33">
        <v>0</v>
      </c>
      <c r="D9" s="33">
        <f>B8</f>
        <v>5381.9999999999991</v>
      </c>
      <c r="E9" s="33">
        <f t="shared" ref="E9:M9" si="3">C8</f>
        <v>8970</v>
      </c>
      <c r="F9" s="33">
        <f t="shared" si="3"/>
        <v>10763.999999999998</v>
      </c>
      <c r="G9" s="33">
        <f t="shared" si="3"/>
        <v>11661</v>
      </c>
      <c r="H9" s="33">
        <f t="shared" si="3"/>
        <v>12558</v>
      </c>
      <c r="I9" s="33">
        <f t="shared" si="3"/>
        <v>14352</v>
      </c>
      <c r="J9" s="33">
        <f t="shared" si="3"/>
        <v>12558</v>
      </c>
      <c r="K9" s="33">
        <f t="shared" si="3"/>
        <v>14352</v>
      </c>
      <c r="L9" s="33">
        <f t="shared" si="3"/>
        <v>14352</v>
      </c>
      <c r="M9" s="33">
        <f t="shared" si="3"/>
        <v>14352</v>
      </c>
      <c r="O9" s="33">
        <f>SUM(B9:M9)</f>
        <v>119301</v>
      </c>
      <c r="P9" s="33">
        <f>P8*Assumptions!J34</f>
        <v>191007.18000000002</v>
      </c>
      <c r="Q9" s="33">
        <f>Q8*Assumptions!K34</f>
        <v>248309.334</v>
      </c>
      <c r="R9" s="33">
        <f>R8*Assumptions!L34</f>
        <v>273140.26740000007</v>
      </c>
      <c r="S9" s="33">
        <f>S8*Assumptions!M34</f>
        <v>286797.28077000001</v>
      </c>
      <c r="T9" s="33"/>
      <c r="U9" s="42">
        <f t="shared" si="0"/>
        <v>0.5115384615384615</v>
      </c>
      <c r="V9" s="42">
        <f t="shared" si="0"/>
        <v>0.58500000000000008</v>
      </c>
      <c r="W9" s="42">
        <f t="shared" si="0"/>
        <v>0.58499999999999996</v>
      </c>
      <c r="X9" s="42">
        <f t="shared" si="0"/>
        <v>0.58500000000000008</v>
      </c>
      <c r="Y9" s="42">
        <f t="shared" si="0"/>
        <v>0.58500000000000008</v>
      </c>
    </row>
    <row r="10" spans="1:29" s="38" customFormat="1" x14ac:dyDescent="0.2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6"/>
      <c r="N10" s="46"/>
      <c r="O10" s="46"/>
      <c r="P10" s="39"/>
      <c r="Q10" s="39"/>
      <c r="R10" s="39"/>
      <c r="S10" s="39"/>
      <c r="T10" s="39"/>
      <c r="U10" s="46"/>
    </row>
    <row r="11" spans="1:29" s="38" customFormat="1" x14ac:dyDescent="0.2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6"/>
    </row>
    <row r="12" spans="1:29" s="38" customFormat="1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6"/>
    </row>
    <row r="13" spans="1:29" s="38" customForma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6"/>
    </row>
    <row r="14" spans="1:29" s="38" customFormat="1" x14ac:dyDescent="0.2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6"/>
    </row>
    <row r="15" spans="1:29" s="38" customFormat="1" x14ac:dyDescent="0.2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0"/>
      <c r="R15" s="40"/>
      <c r="S15" s="40"/>
      <c r="T15" s="40"/>
      <c r="U15" s="46"/>
    </row>
    <row r="16" spans="1:29" s="38" customFormat="1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40"/>
      <c r="R16" s="40"/>
      <c r="S16" s="40"/>
      <c r="T16" s="40"/>
      <c r="U16" s="46"/>
    </row>
    <row r="17" spans="2:21" s="38" customFormat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40"/>
      <c r="S17" s="40"/>
      <c r="T17" s="40"/>
      <c r="U17" s="46"/>
    </row>
    <row r="18" spans="2:21" s="41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7"/>
    </row>
    <row r="19" spans="2:21" s="38" customForma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40"/>
      <c r="S19" s="40"/>
      <c r="T19" s="40"/>
      <c r="U19" s="46"/>
    </row>
    <row r="20" spans="2:21" s="38" customFormat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0"/>
      <c r="R20" s="40"/>
      <c r="S20" s="40"/>
      <c r="T20" s="40"/>
      <c r="U20" s="46"/>
    </row>
    <row r="21" spans="2:21" s="38" customFormat="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0"/>
      <c r="R21" s="40"/>
      <c r="S21" s="40"/>
      <c r="T21" s="40"/>
      <c r="U21" s="46"/>
    </row>
    <row r="22" spans="2:21" s="38" customFormat="1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0"/>
      <c r="R22" s="40"/>
      <c r="S22" s="40"/>
      <c r="T22" s="40"/>
      <c r="U22" s="46"/>
    </row>
    <row r="23" spans="2:21" s="38" customFormat="1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40"/>
      <c r="R23" s="40"/>
      <c r="S23" s="40"/>
      <c r="T23" s="40"/>
      <c r="U23" s="46"/>
    </row>
    <row r="24" spans="2:21" s="38" customFormat="1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0"/>
      <c r="R24" s="40"/>
      <c r="S24" s="40"/>
      <c r="T24" s="40"/>
      <c r="U24" s="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796875" defaultRowHeight="10.5" x14ac:dyDescent="0.25"/>
  <cols>
    <col min="1" max="1" width="19.453125" style="2" bestFit="1" customWidth="1"/>
    <col min="2" max="13" width="6.54296875" style="2" bestFit="1" customWidth="1"/>
    <col min="14" max="14" width="2.7265625" style="26" customWidth="1"/>
    <col min="15" max="16" width="7.453125" style="2" bestFit="1" customWidth="1"/>
    <col min="17" max="19" width="7.453125" style="2" customWidth="1"/>
    <col min="20" max="20" width="2.7265625" style="2" customWidth="1"/>
    <col min="21" max="21" width="6.26953125" style="59" bestFit="1" customWidth="1"/>
    <col min="22" max="22" width="7.453125" style="2" bestFit="1" customWidth="1"/>
    <col min="23" max="23" width="6.26953125" style="2" bestFit="1" customWidth="1"/>
    <col min="24" max="24" width="7.453125" style="2" bestFit="1" customWidth="1"/>
    <col min="25" max="25" width="6.26953125" style="2" bestFit="1" customWidth="1"/>
    <col min="26" max="26" width="7.453125" style="2" bestFit="1" customWidth="1"/>
    <col min="27" max="27" width="6.26953125" style="2" bestFit="1" customWidth="1"/>
    <col min="28" max="28" width="7.453125" style="2" bestFit="1" customWidth="1"/>
    <col min="29" max="29" width="6.26953125" style="2" bestFit="1" customWidth="1"/>
    <col min="30" max="16384" width="9.1796875" style="2"/>
  </cols>
  <sheetData>
    <row r="1" spans="1:29" s="5" customFormat="1" x14ac:dyDescent="0.25"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80"/>
      <c r="O1" s="5" t="s">
        <v>23</v>
      </c>
      <c r="P1" s="5" t="s">
        <v>25</v>
      </c>
      <c r="Q1" s="5" t="s">
        <v>27</v>
      </c>
      <c r="R1" s="5" t="s">
        <v>29</v>
      </c>
      <c r="S1" s="5" t="s">
        <v>31</v>
      </c>
      <c r="U1" s="78" t="s">
        <v>88</v>
      </c>
      <c r="V1" s="78" t="s">
        <v>89</v>
      </c>
      <c r="W1" s="78" t="s">
        <v>90</v>
      </c>
      <c r="X1" s="78" t="s">
        <v>91</v>
      </c>
      <c r="Y1" s="78" t="s">
        <v>92</v>
      </c>
    </row>
    <row r="2" spans="1:29" x14ac:dyDescent="0.25">
      <c r="A2" s="2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1"/>
      <c r="O2" s="11"/>
      <c r="P2" s="11"/>
      <c r="Q2" s="11"/>
      <c r="R2" s="11"/>
      <c r="S2" s="11"/>
      <c r="T2" s="11"/>
      <c r="V2" s="11"/>
      <c r="W2" s="11"/>
      <c r="X2" s="11"/>
      <c r="Y2" s="11"/>
      <c r="Z2" s="11"/>
      <c r="AA2" s="11"/>
      <c r="AB2" s="11"/>
      <c r="AC2" s="11"/>
    </row>
    <row r="3" spans="1:29" x14ac:dyDescent="0.25">
      <c r="A3" s="2" t="s">
        <v>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1"/>
      <c r="O3" s="11"/>
      <c r="P3" s="11"/>
      <c r="Q3" s="11"/>
      <c r="R3" s="11"/>
      <c r="S3" s="11"/>
      <c r="T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2" t="s">
        <v>72</v>
      </c>
      <c r="B4" s="11">
        <f>Assumptions!$B$11</f>
        <v>4766.666666666667</v>
      </c>
      <c r="C4" s="11">
        <f>Assumptions!$B$11</f>
        <v>4766.666666666667</v>
      </c>
      <c r="D4" s="11">
        <f>Assumptions!$B$11</f>
        <v>4766.666666666667</v>
      </c>
      <c r="E4" s="11">
        <f>Assumptions!$B$11</f>
        <v>4766.666666666667</v>
      </c>
      <c r="F4" s="11">
        <f>Assumptions!$B$11</f>
        <v>4766.666666666667</v>
      </c>
      <c r="G4" s="11">
        <f>Assumptions!$B$11</f>
        <v>4766.666666666667</v>
      </c>
      <c r="H4" s="11">
        <f>Assumptions!$B$11</f>
        <v>4766.666666666667</v>
      </c>
      <c r="I4" s="11">
        <f>Assumptions!$B$11</f>
        <v>4766.666666666667</v>
      </c>
      <c r="J4" s="11">
        <f>Assumptions!$B$11</f>
        <v>4766.666666666667</v>
      </c>
      <c r="K4" s="11">
        <f>Assumptions!$B$11</f>
        <v>4766.666666666667</v>
      </c>
      <c r="L4" s="11">
        <f>Assumptions!$B$11</f>
        <v>4766.666666666667</v>
      </c>
      <c r="M4" s="11">
        <f>Assumptions!$B$11</f>
        <v>4766.666666666667</v>
      </c>
      <c r="N4" s="81"/>
      <c r="O4" s="11">
        <f>SUM(B4:M4)</f>
        <v>57199.999999999993</v>
      </c>
      <c r="P4" s="11">
        <f>Assumptions!C12</f>
        <v>72800</v>
      </c>
      <c r="Q4" s="11">
        <f>Assumptions!D12</f>
        <v>104000</v>
      </c>
      <c r="R4" s="11">
        <f>Assumptions!E12</f>
        <v>104000</v>
      </c>
      <c r="S4" s="11">
        <f>Assumptions!F12</f>
        <v>104000</v>
      </c>
      <c r="T4" s="11"/>
      <c r="U4" s="59">
        <f>O4/Revenue!O$8</f>
        <v>0.37732612983449099</v>
      </c>
      <c r="V4" s="59">
        <f>P4/Revenue!P$8</f>
        <v>0.34302375439499183</v>
      </c>
      <c r="W4" s="59">
        <f>Q4/Revenue!Q$8</f>
        <v>0.3769491806538372</v>
      </c>
      <c r="X4" s="59">
        <f>R4/Revenue!R$8</f>
        <v>0.34268107332167014</v>
      </c>
      <c r="Y4" s="59">
        <f>S4/Revenue!S$8</f>
        <v>0.32636292697301927</v>
      </c>
      <c r="Z4" s="11"/>
      <c r="AA4" s="11"/>
      <c r="AB4" s="11"/>
    </row>
    <row r="5" spans="1:29" x14ac:dyDescent="0.25">
      <c r="A5" s="2" t="s">
        <v>73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81"/>
      <c r="O5" s="6">
        <f>SUM(B5:M5)</f>
        <v>0</v>
      </c>
      <c r="P5" s="6">
        <v>0</v>
      </c>
      <c r="Q5" s="6">
        <v>0</v>
      </c>
      <c r="R5" s="6">
        <v>0</v>
      </c>
      <c r="S5" s="6">
        <v>0</v>
      </c>
      <c r="T5" s="11"/>
      <c r="U5" s="59">
        <f>O5/Revenue!O$8</f>
        <v>0</v>
      </c>
      <c r="V5" s="59">
        <f>P5/Revenue!P$8</f>
        <v>0</v>
      </c>
      <c r="W5" s="59">
        <f>Q5/Revenue!Q$8</f>
        <v>0</v>
      </c>
      <c r="X5" s="59">
        <f>R5/Revenue!R$8</f>
        <v>0</v>
      </c>
      <c r="Y5" s="59">
        <f>S5/Revenue!S$8</f>
        <v>0</v>
      </c>
      <c r="Z5" s="11"/>
      <c r="AA5" s="11"/>
      <c r="AB5" s="11"/>
    </row>
    <row r="6" spans="1:29" s="3" customFormat="1" x14ac:dyDescent="0.25">
      <c r="A6" s="3" t="s">
        <v>74</v>
      </c>
      <c r="B6" s="9">
        <f>B4*Assumptions!$B$24</f>
        <v>0</v>
      </c>
      <c r="C6" s="9">
        <f>C4*Assumptions!$B$24</f>
        <v>0</v>
      </c>
      <c r="D6" s="9">
        <f>D4*Assumptions!$B$24</f>
        <v>0</v>
      </c>
      <c r="E6" s="9">
        <f>E4*Assumptions!$B$24</f>
        <v>0</v>
      </c>
      <c r="F6" s="9">
        <f>F4*Assumptions!$B$24</f>
        <v>0</v>
      </c>
      <c r="G6" s="9">
        <f>G4*Assumptions!$B$24</f>
        <v>0</v>
      </c>
      <c r="H6" s="9">
        <f>H4*Assumptions!$B$24</f>
        <v>0</v>
      </c>
      <c r="I6" s="9">
        <f>I4*Assumptions!$B$24</f>
        <v>0</v>
      </c>
      <c r="J6" s="9">
        <f>J4*Assumptions!$B$24</f>
        <v>0</v>
      </c>
      <c r="K6" s="9">
        <f>K4*Assumptions!$B$24</f>
        <v>0</v>
      </c>
      <c r="L6" s="9">
        <f>L4*Assumptions!$B$24</f>
        <v>0</v>
      </c>
      <c r="M6" s="9">
        <f>M4*Assumptions!$B$24</f>
        <v>0</v>
      </c>
      <c r="N6" s="82"/>
      <c r="O6" s="9">
        <f>SUM(B6:M6)</f>
        <v>0</v>
      </c>
      <c r="P6" s="9">
        <f>P4*Assumptions!C24</f>
        <v>0</v>
      </c>
      <c r="Q6" s="9">
        <f>Q4*Assumptions!D24</f>
        <v>11440</v>
      </c>
      <c r="R6" s="9">
        <f>R4*Assumptions!E24</f>
        <v>11440</v>
      </c>
      <c r="S6" s="9">
        <f>S4*Assumptions!F24</f>
        <v>11440</v>
      </c>
      <c r="T6" s="9"/>
      <c r="U6" s="88">
        <f>O6/Revenue!O$8</f>
        <v>0</v>
      </c>
      <c r="V6" s="88">
        <f>P6/Revenue!P$8</f>
        <v>0</v>
      </c>
      <c r="W6" s="88">
        <f>Q6/Revenue!Q$8</f>
        <v>4.1464409871922091E-2</v>
      </c>
      <c r="X6" s="88">
        <f>R6/Revenue!R$8</f>
        <v>3.7694918065383713E-2</v>
      </c>
      <c r="Y6" s="88">
        <f>S6/Revenue!S$8</f>
        <v>3.5899921967032115E-2</v>
      </c>
      <c r="Z6" s="9"/>
      <c r="AA6" s="9"/>
      <c r="AB6" s="9"/>
    </row>
    <row r="7" spans="1:29" x14ac:dyDescent="0.25">
      <c r="A7" s="2" t="s">
        <v>75</v>
      </c>
      <c r="B7" s="11">
        <f t="shared" ref="B7:M7" si="0">SUM(B4:B6)</f>
        <v>4766.666666666667</v>
      </c>
      <c r="C7" s="11">
        <f t="shared" si="0"/>
        <v>4766.666666666667</v>
      </c>
      <c r="D7" s="11">
        <f t="shared" si="0"/>
        <v>4766.666666666667</v>
      </c>
      <c r="E7" s="11">
        <f t="shared" si="0"/>
        <v>4766.666666666667</v>
      </c>
      <c r="F7" s="11">
        <f t="shared" si="0"/>
        <v>4766.666666666667</v>
      </c>
      <c r="G7" s="11">
        <f t="shared" si="0"/>
        <v>4766.666666666667</v>
      </c>
      <c r="H7" s="11">
        <f t="shared" si="0"/>
        <v>4766.666666666667</v>
      </c>
      <c r="I7" s="11">
        <f t="shared" si="0"/>
        <v>4766.666666666667</v>
      </c>
      <c r="J7" s="11">
        <f t="shared" si="0"/>
        <v>4766.666666666667</v>
      </c>
      <c r="K7" s="11">
        <f t="shared" si="0"/>
        <v>4766.666666666667</v>
      </c>
      <c r="L7" s="11">
        <f t="shared" si="0"/>
        <v>4766.666666666667</v>
      </c>
      <c r="M7" s="11">
        <f t="shared" si="0"/>
        <v>4766.666666666667</v>
      </c>
      <c r="N7" s="81"/>
      <c r="O7" s="11">
        <f>SUM(O4:O6)</f>
        <v>57199.999999999993</v>
      </c>
      <c r="P7" s="11">
        <f>SUM(P4:P6)</f>
        <v>72800</v>
      </c>
      <c r="Q7" s="11">
        <f>SUM(Q4:Q6)</f>
        <v>115440</v>
      </c>
      <c r="R7" s="11">
        <f>SUM(R4:R6)</f>
        <v>115440</v>
      </c>
      <c r="S7" s="11">
        <f>SUM(S4:S6)</f>
        <v>115440</v>
      </c>
      <c r="T7" s="11"/>
      <c r="U7" s="59">
        <f>O7/Revenue!O$8</f>
        <v>0.37732612983449099</v>
      </c>
      <c r="V7" s="59">
        <f>P7/Revenue!P$8</f>
        <v>0.34302375439499183</v>
      </c>
      <c r="W7" s="59">
        <f>Q7/Revenue!Q$8</f>
        <v>0.41841359052575927</v>
      </c>
      <c r="X7" s="59">
        <f>R7/Revenue!R$8</f>
        <v>0.38037599138705386</v>
      </c>
      <c r="Y7" s="59">
        <f>S7/Revenue!S$8</f>
        <v>0.36226284894005134</v>
      </c>
      <c r="Z7" s="11"/>
      <c r="AA7" s="11"/>
      <c r="AB7" s="11"/>
      <c r="AC7" s="11"/>
    </row>
    <row r="8" spans="1:29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81"/>
      <c r="O8" s="11"/>
      <c r="P8" s="11"/>
      <c r="Q8" s="11"/>
      <c r="R8" s="11"/>
      <c r="S8" s="11"/>
      <c r="T8" s="11"/>
      <c r="V8" s="59"/>
      <c r="W8" s="59"/>
      <c r="X8" s="59"/>
      <c r="Y8" s="59"/>
      <c r="Z8" s="11"/>
      <c r="AA8" s="11"/>
      <c r="AB8" s="11"/>
      <c r="AC8" s="11"/>
    </row>
    <row r="9" spans="1:29" x14ac:dyDescent="0.25">
      <c r="A9" s="2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1"/>
      <c r="O9" s="11"/>
      <c r="P9" s="11"/>
      <c r="Q9" s="11"/>
      <c r="R9" s="11"/>
      <c r="S9" s="11"/>
      <c r="T9" s="11"/>
      <c r="V9" s="59"/>
      <c r="W9" s="59"/>
      <c r="X9" s="59"/>
      <c r="Y9" s="59"/>
      <c r="Z9" s="11"/>
      <c r="AA9" s="11"/>
      <c r="AB9" s="11"/>
      <c r="AC9" s="11"/>
    </row>
    <row r="10" spans="1:29" x14ac:dyDescent="0.25">
      <c r="A10" s="2" t="s">
        <v>76</v>
      </c>
      <c r="B10" s="11">
        <f>Assumptions!$B$15</f>
        <v>1213.3333333333333</v>
      </c>
      <c r="C10" s="11">
        <f>Assumptions!$B$15</f>
        <v>1213.3333333333333</v>
      </c>
      <c r="D10" s="11">
        <f>Assumptions!$B$15</f>
        <v>1213.3333333333333</v>
      </c>
      <c r="E10" s="11">
        <f>Assumptions!$B$15</f>
        <v>1213.3333333333333</v>
      </c>
      <c r="F10" s="11">
        <f>Assumptions!$B$15</f>
        <v>1213.3333333333333</v>
      </c>
      <c r="G10" s="11">
        <f>Assumptions!$B$15</f>
        <v>1213.3333333333333</v>
      </c>
      <c r="H10" s="11">
        <f>Assumptions!$B$15</f>
        <v>1213.3333333333333</v>
      </c>
      <c r="I10" s="11">
        <f>Assumptions!$B$15</f>
        <v>1213.3333333333333</v>
      </c>
      <c r="J10" s="11">
        <f>Assumptions!$B$15</f>
        <v>1213.3333333333333</v>
      </c>
      <c r="K10" s="11">
        <f>Assumptions!$B$15</f>
        <v>1213.3333333333333</v>
      </c>
      <c r="L10" s="11">
        <f>Assumptions!$B$15</f>
        <v>1213.3333333333333</v>
      </c>
      <c r="M10" s="11">
        <f>Assumptions!$B$15</f>
        <v>1213.3333333333333</v>
      </c>
      <c r="N10" s="81"/>
      <c r="O10" s="11">
        <f>SUM(B10:M10)</f>
        <v>14560.000000000002</v>
      </c>
      <c r="P10" s="11">
        <f>Assumptions!C16</f>
        <v>29120</v>
      </c>
      <c r="Q10" s="11">
        <f>Assumptions!D16</f>
        <v>29120</v>
      </c>
      <c r="R10" s="11">
        <f>Assumptions!E16</f>
        <v>29120</v>
      </c>
      <c r="S10" s="11">
        <f>Assumptions!F16</f>
        <v>29120</v>
      </c>
      <c r="T10" s="11"/>
      <c r="U10" s="59">
        <f>O10/Revenue!O$8</f>
        <v>9.6046651230597732E-2</v>
      </c>
      <c r="V10" s="59">
        <f>P10/Revenue!P$8</f>
        <v>0.13720950175799673</v>
      </c>
      <c r="W10" s="59">
        <f>Q10/Revenue!Q$8</f>
        <v>0.10554577058307442</v>
      </c>
      <c r="X10" s="59">
        <f>R10/Revenue!R$8</f>
        <v>9.5950700530067642E-2</v>
      </c>
      <c r="Y10" s="59">
        <f>S10/Revenue!S$8</f>
        <v>9.1381619552445392E-2</v>
      </c>
      <c r="Z10" s="11"/>
      <c r="AA10" s="11"/>
      <c r="AB10" s="11"/>
    </row>
    <row r="11" spans="1:29" x14ac:dyDescent="0.25">
      <c r="A11" s="2" t="s">
        <v>77</v>
      </c>
      <c r="B11" s="11">
        <f>B10*Assumptions!$B$18</f>
        <v>145.6</v>
      </c>
      <c r="C11" s="11">
        <f>C10*Assumptions!$B$18</f>
        <v>145.6</v>
      </c>
      <c r="D11" s="11">
        <f>D10*Assumptions!$B$18</f>
        <v>145.6</v>
      </c>
      <c r="E11" s="11">
        <f>E10*Assumptions!$B$18</f>
        <v>145.6</v>
      </c>
      <c r="F11" s="11">
        <f>F10*Assumptions!$B$18</f>
        <v>145.6</v>
      </c>
      <c r="G11" s="11">
        <f>G10*Assumptions!$B$18</f>
        <v>145.6</v>
      </c>
      <c r="H11" s="11">
        <f>H10*Assumptions!$B$18</f>
        <v>145.6</v>
      </c>
      <c r="I11" s="11">
        <f>I10*Assumptions!$B$18</f>
        <v>145.6</v>
      </c>
      <c r="J11" s="11">
        <f>J10*Assumptions!$B$18</f>
        <v>145.6</v>
      </c>
      <c r="K11" s="11">
        <f>K10*Assumptions!$B$18</f>
        <v>145.6</v>
      </c>
      <c r="L11" s="11">
        <f>L10*Assumptions!$B$18</f>
        <v>145.6</v>
      </c>
      <c r="M11" s="11">
        <f>M10*Assumptions!$B$18</f>
        <v>145.6</v>
      </c>
      <c r="N11" s="81"/>
      <c r="O11" s="11">
        <f>SUM(B11:M11)</f>
        <v>1747.1999999999996</v>
      </c>
      <c r="P11" s="11">
        <f>P10*Assumptions!C18</f>
        <v>3494.4</v>
      </c>
      <c r="Q11" s="11">
        <f>Q10*Assumptions!D18</f>
        <v>3494.4</v>
      </c>
      <c r="R11" s="11">
        <f>R10*Assumptions!E18</f>
        <v>3494.4</v>
      </c>
      <c r="S11" s="11">
        <f>S10*Assumptions!F18</f>
        <v>3494.4</v>
      </c>
      <c r="T11" s="11"/>
      <c r="U11" s="59">
        <f>O11/Revenue!O$8</f>
        <v>1.1525598147671724E-2</v>
      </c>
      <c r="V11" s="59">
        <f>P11/Revenue!P$8</f>
        <v>1.6465140210959607E-2</v>
      </c>
      <c r="W11" s="59">
        <f>Q11/Revenue!Q$8</f>
        <v>1.2665492469968931E-2</v>
      </c>
      <c r="X11" s="59">
        <f>R11/Revenue!R$8</f>
        <v>1.1514084063608116E-2</v>
      </c>
      <c r="Y11" s="59">
        <f>S11/Revenue!S$8</f>
        <v>1.0965794346293446E-2</v>
      </c>
      <c r="Z11" s="11"/>
      <c r="AA11" s="11"/>
      <c r="AB11" s="11"/>
    </row>
    <row r="12" spans="1:29" s="3" customFormat="1" x14ac:dyDescent="0.25">
      <c r="A12" s="3" t="s">
        <v>78</v>
      </c>
      <c r="B12" s="9">
        <f>B10*Assumptions!$B$24</f>
        <v>0</v>
      </c>
      <c r="C12" s="9">
        <f>C10*Assumptions!$B$24</f>
        <v>0</v>
      </c>
      <c r="D12" s="9">
        <f>D10*Assumptions!$B$24</f>
        <v>0</v>
      </c>
      <c r="E12" s="9">
        <f>E10*Assumptions!$B$24</f>
        <v>0</v>
      </c>
      <c r="F12" s="9">
        <f>F10*Assumptions!$B$24</f>
        <v>0</v>
      </c>
      <c r="G12" s="9">
        <f>G10*Assumptions!$B$24</f>
        <v>0</v>
      </c>
      <c r="H12" s="9">
        <f>H10*Assumptions!$B$24</f>
        <v>0</v>
      </c>
      <c r="I12" s="9">
        <f>I10*Assumptions!$B$24</f>
        <v>0</v>
      </c>
      <c r="J12" s="9">
        <f>J10*Assumptions!$B$24</f>
        <v>0</v>
      </c>
      <c r="K12" s="9">
        <f>K10*Assumptions!$B$24</f>
        <v>0</v>
      </c>
      <c r="L12" s="9">
        <f>L10*Assumptions!$B$24</f>
        <v>0</v>
      </c>
      <c r="M12" s="9">
        <f>M10*Assumptions!$B$24</f>
        <v>0</v>
      </c>
      <c r="N12" s="82"/>
      <c r="O12" s="9">
        <f>SUM(B12:M12)</f>
        <v>0</v>
      </c>
      <c r="P12" s="9">
        <f>P10*Assumptions!C24</f>
        <v>0</v>
      </c>
      <c r="Q12" s="9">
        <f>Q10*Assumptions!D24</f>
        <v>3203.2</v>
      </c>
      <c r="R12" s="9">
        <f>R10*Assumptions!E24</f>
        <v>3203.2</v>
      </c>
      <c r="S12" s="9">
        <f>S10*Assumptions!F24</f>
        <v>3203.2</v>
      </c>
      <c r="T12" s="9"/>
      <c r="U12" s="88">
        <f>O12/Revenue!O$8</f>
        <v>0</v>
      </c>
      <c r="V12" s="88">
        <f>P12/Revenue!P$8</f>
        <v>0</v>
      </c>
      <c r="W12" s="88">
        <f>Q12/Revenue!Q$8</f>
        <v>1.1610034764138185E-2</v>
      </c>
      <c r="X12" s="88">
        <f>R12/Revenue!R$8</f>
        <v>1.0554577058307439E-2</v>
      </c>
      <c r="Y12" s="88">
        <f>S12/Revenue!S$8</f>
        <v>1.0051978150768992E-2</v>
      </c>
      <c r="Z12" s="9"/>
      <c r="AA12" s="9"/>
      <c r="AB12" s="9"/>
    </row>
    <row r="13" spans="1:29" x14ac:dyDescent="0.25">
      <c r="A13" s="2" t="s">
        <v>79</v>
      </c>
      <c r="B13" s="11">
        <f t="shared" ref="B13:M13" si="1">SUM(B10:B12)</f>
        <v>1358.9333333333332</v>
      </c>
      <c r="C13" s="11">
        <f t="shared" si="1"/>
        <v>1358.9333333333332</v>
      </c>
      <c r="D13" s="11">
        <f t="shared" si="1"/>
        <v>1358.9333333333332</v>
      </c>
      <c r="E13" s="11">
        <f t="shared" si="1"/>
        <v>1358.9333333333332</v>
      </c>
      <c r="F13" s="11">
        <f t="shared" si="1"/>
        <v>1358.9333333333332</v>
      </c>
      <c r="G13" s="11">
        <f t="shared" si="1"/>
        <v>1358.9333333333332</v>
      </c>
      <c r="H13" s="11">
        <f t="shared" si="1"/>
        <v>1358.9333333333332</v>
      </c>
      <c r="I13" s="11">
        <f t="shared" si="1"/>
        <v>1358.9333333333332</v>
      </c>
      <c r="J13" s="11">
        <f t="shared" si="1"/>
        <v>1358.9333333333332</v>
      </c>
      <c r="K13" s="11">
        <f t="shared" si="1"/>
        <v>1358.9333333333332</v>
      </c>
      <c r="L13" s="11">
        <f t="shared" si="1"/>
        <v>1358.9333333333332</v>
      </c>
      <c r="M13" s="11">
        <f t="shared" si="1"/>
        <v>1358.9333333333332</v>
      </c>
      <c r="N13" s="81"/>
      <c r="O13" s="11">
        <f>SUM(O10:O12)</f>
        <v>16307.2</v>
      </c>
      <c r="P13" s="11">
        <f>SUM(P10:P12)</f>
        <v>32614.400000000001</v>
      </c>
      <c r="Q13" s="11">
        <f>SUM(Q10:Q12)</f>
        <v>35817.599999999999</v>
      </c>
      <c r="R13" s="11">
        <f>SUM(R10:R12)</f>
        <v>35817.599999999999</v>
      </c>
      <c r="S13" s="11">
        <f>SUM(S10:S12)</f>
        <v>35817.599999999999</v>
      </c>
      <c r="T13" s="11"/>
      <c r="U13" s="59">
        <f>O13/Revenue!O$8</f>
        <v>0.10757224937826945</v>
      </c>
      <c r="V13" s="59">
        <f>P13/Revenue!P$8</f>
        <v>0.15367464196895636</v>
      </c>
      <c r="W13" s="59">
        <f>Q13/Revenue!Q$8</f>
        <v>0.12982129781718152</v>
      </c>
      <c r="X13" s="59">
        <f>R13/Revenue!R$8</f>
        <v>0.11801936165198319</v>
      </c>
      <c r="Y13" s="59">
        <f>S13/Revenue!S$8</f>
        <v>0.11239939204950783</v>
      </c>
      <c r="Z13" s="11"/>
      <c r="AA13" s="11"/>
      <c r="AB13" s="11"/>
      <c r="AC13" s="11"/>
    </row>
    <row r="14" spans="1:29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1"/>
      <c r="O14" s="11"/>
      <c r="P14" s="11"/>
      <c r="Q14" s="11"/>
      <c r="R14" s="11"/>
      <c r="S14" s="11"/>
      <c r="T14" s="11"/>
      <c r="V14" s="59"/>
      <c r="W14" s="59"/>
      <c r="X14" s="59"/>
      <c r="Y14" s="59"/>
      <c r="Z14" s="11"/>
      <c r="AA14" s="11"/>
      <c r="AB14" s="11"/>
      <c r="AC14" s="11"/>
    </row>
    <row r="15" spans="1:29" x14ac:dyDescent="0.25">
      <c r="A15" s="2" t="s">
        <v>80</v>
      </c>
      <c r="B15" s="11">
        <f>B4+B10</f>
        <v>5980</v>
      </c>
      <c r="C15" s="11">
        <f t="shared" ref="C15:O15" si="2">C4+C10</f>
        <v>5980</v>
      </c>
      <c r="D15" s="11">
        <f t="shared" si="2"/>
        <v>5980</v>
      </c>
      <c r="E15" s="11">
        <f t="shared" si="2"/>
        <v>5980</v>
      </c>
      <c r="F15" s="11">
        <f t="shared" si="2"/>
        <v>5980</v>
      </c>
      <c r="G15" s="11">
        <f t="shared" si="2"/>
        <v>5980</v>
      </c>
      <c r="H15" s="11">
        <f t="shared" si="2"/>
        <v>5980</v>
      </c>
      <c r="I15" s="11">
        <f t="shared" si="2"/>
        <v>5980</v>
      </c>
      <c r="J15" s="11">
        <f t="shared" si="2"/>
        <v>5980</v>
      </c>
      <c r="K15" s="11">
        <f t="shared" si="2"/>
        <v>5980</v>
      </c>
      <c r="L15" s="11">
        <f t="shared" si="2"/>
        <v>5980</v>
      </c>
      <c r="M15" s="11">
        <f t="shared" si="2"/>
        <v>5980</v>
      </c>
      <c r="N15" s="81"/>
      <c r="O15" s="11">
        <f t="shared" si="2"/>
        <v>71760</v>
      </c>
      <c r="P15" s="11">
        <f t="shared" ref="P15:S17" si="3">P4+P10</f>
        <v>101920</v>
      </c>
      <c r="Q15" s="11">
        <f t="shared" si="3"/>
        <v>133120</v>
      </c>
      <c r="R15" s="11">
        <f t="shared" si="3"/>
        <v>133120</v>
      </c>
      <c r="S15" s="11">
        <f t="shared" si="3"/>
        <v>133120</v>
      </c>
      <c r="T15" s="11"/>
      <c r="U15" s="59">
        <f>O15/Revenue!O$8</f>
        <v>0.47337278106508873</v>
      </c>
      <c r="V15" s="59">
        <f>P15/Revenue!P$8</f>
        <v>0.48023325615298856</v>
      </c>
      <c r="W15" s="59">
        <f>Q15/Revenue!Q$8</f>
        <v>0.48249495123691161</v>
      </c>
      <c r="X15" s="59">
        <f>R15/Revenue!R$8</f>
        <v>0.43863177385173779</v>
      </c>
      <c r="Y15" s="59">
        <f>S15/Revenue!S$8</f>
        <v>0.41774454652546461</v>
      </c>
      <c r="Z15" s="11"/>
      <c r="AA15" s="11"/>
      <c r="AB15" s="11"/>
      <c r="AC15" s="11"/>
    </row>
    <row r="16" spans="1:29" x14ac:dyDescent="0.25">
      <c r="A16" s="2" t="s">
        <v>81</v>
      </c>
      <c r="B16" s="11">
        <f>B5+B11</f>
        <v>145.6</v>
      </c>
      <c r="C16" s="11">
        <f t="shared" ref="C16:O16" si="4">C5+C11</f>
        <v>145.6</v>
      </c>
      <c r="D16" s="11">
        <f t="shared" si="4"/>
        <v>145.6</v>
      </c>
      <c r="E16" s="11">
        <f t="shared" si="4"/>
        <v>145.6</v>
      </c>
      <c r="F16" s="11">
        <f t="shared" si="4"/>
        <v>145.6</v>
      </c>
      <c r="G16" s="11">
        <f t="shared" si="4"/>
        <v>145.6</v>
      </c>
      <c r="H16" s="11">
        <f t="shared" si="4"/>
        <v>145.6</v>
      </c>
      <c r="I16" s="11">
        <f t="shared" si="4"/>
        <v>145.6</v>
      </c>
      <c r="J16" s="11">
        <f t="shared" si="4"/>
        <v>145.6</v>
      </c>
      <c r="K16" s="11">
        <f t="shared" si="4"/>
        <v>145.6</v>
      </c>
      <c r="L16" s="11">
        <f t="shared" si="4"/>
        <v>145.6</v>
      </c>
      <c r="M16" s="11">
        <f t="shared" si="4"/>
        <v>145.6</v>
      </c>
      <c r="N16" s="81"/>
      <c r="O16" s="11">
        <f t="shared" si="4"/>
        <v>1747.1999999999996</v>
      </c>
      <c r="P16" s="11">
        <f t="shared" si="3"/>
        <v>3494.4</v>
      </c>
      <c r="Q16" s="11">
        <f t="shared" si="3"/>
        <v>3494.4</v>
      </c>
      <c r="R16" s="11">
        <f t="shared" si="3"/>
        <v>3494.4</v>
      </c>
      <c r="S16" s="11">
        <f t="shared" si="3"/>
        <v>3494.4</v>
      </c>
      <c r="T16" s="11"/>
      <c r="U16" s="59">
        <f>O16/Revenue!O$8</f>
        <v>1.1525598147671724E-2</v>
      </c>
      <c r="V16" s="59">
        <f>P16/Revenue!P$8</f>
        <v>1.6465140210959607E-2</v>
      </c>
      <c r="W16" s="59">
        <f>Q16/Revenue!Q$8</f>
        <v>1.2665492469968931E-2</v>
      </c>
      <c r="X16" s="59">
        <f>R16/Revenue!R$8</f>
        <v>1.1514084063608116E-2</v>
      </c>
      <c r="Y16" s="59">
        <f>S16/Revenue!S$8</f>
        <v>1.0965794346293446E-2</v>
      </c>
      <c r="Z16" s="11"/>
      <c r="AA16" s="11"/>
      <c r="AB16" s="11"/>
      <c r="AC16" s="11"/>
    </row>
    <row r="17" spans="1:29" s="3" customFormat="1" x14ac:dyDescent="0.25">
      <c r="A17" s="3" t="s">
        <v>82</v>
      </c>
      <c r="B17" s="9">
        <f>B6+B12</f>
        <v>0</v>
      </c>
      <c r="C17" s="9">
        <f t="shared" ref="C17:O17" si="5">C6+C12</f>
        <v>0</v>
      </c>
      <c r="D17" s="9">
        <f t="shared" si="5"/>
        <v>0</v>
      </c>
      <c r="E17" s="9">
        <f t="shared" si="5"/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82"/>
      <c r="O17" s="9">
        <f t="shared" si="5"/>
        <v>0</v>
      </c>
      <c r="P17" s="9">
        <f t="shared" si="3"/>
        <v>0</v>
      </c>
      <c r="Q17" s="9">
        <f t="shared" si="3"/>
        <v>14643.2</v>
      </c>
      <c r="R17" s="9">
        <f t="shared" si="3"/>
        <v>14643.2</v>
      </c>
      <c r="S17" s="9">
        <f t="shared" si="3"/>
        <v>14643.2</v>
      </c>
      <c r="T17" s="9"/>
      <c r="U17" s="88">
        <f>O17/Revenue!O$8</f>
        <v>0</v>
      </c>
      <c r="V17" s="88">
        <f>P17/Revenue!P$8</f>
        <v>0</v>
      </c>
      <c r="W17" s="88">
        <f>Q17/Revenue!Q$8</f>
        <v>5.3074444636060279E-2</v>
      </c>
      <c r="X17" s="88">
        <f>R17/Revenue!R$8</f>
        <v>4.8249495123691158E-2</v>
      </c>
      <c r="Y17" s="88">
        <f>S17/Revenue!S$8</f>
        <v>4.5951900117801113E-2</v>
      </c>
      <c r="Z17" s="9"/>
      <c r="AA17" s="9"/>
      <c r="AB17" s="9"/>
      <c r="AC17" s="9"/>
    </row>
    <row r="18" spans="1:29" x14ac:dyDescent="0.25">
      <c r="A18" s="2" t="s">
        <v>83</v>
      </c>
      <c r="B18" s="11">
        <f t="shared" ref="B18:M18" si="6">SUM(B15:B17)</f>
        <v>6125.6</v>
      </c>
      <c r="C18" s="11">
        <f t="shared" si="6"/>
        <v>6125.6</v>
      </c>
      <c r="D18" s="11">
        <f t="shared" si="6"/>
        <v>6125.6</v>
      </c>
      <c r="E18" s="11">
        <f t="shared" si="6"/>
        <v>6125.6</v>
      </c>
      <c r="F18" s="11">
        <f t="shared" si="6"/>
        <v>6125.6</v>
      </c>
      <c r="G18" s="11">
        <f t="shared" si="6"/>
        <v>6125.6</v>
      </c>
      <c r="H18" s="11">
        <f t="shared" si="6"/>
        <v>6125.6</v>
      </c>
      <c r="I18" s="11">
        <f t="shared" si="6"/>
        <v>6125.6</v>
      </c>
      <c r="J18" s="11">
        <f t="shared" si="6"/>
        <v>6125.6</v>
      </c>
      <c r="K18" s="11">
        <f t="shared" si="6"/>
        <v>6125.6</v>
      </c>
      <c r="L18" s="11">
        <f t="shared" si="6"/>
        <v>6125.6</v>
      </c>
      <c r="M18" s="11">
        <f t="shared" si="6"/>
        <v>6125.6</v>
      </c>
      <c r="N18" s="81"/>
      <c r="O18" s="11">
        <f>SUM(O15:O17)</f>
        <v>73507.199999999997</v>
      </c>
      <c r="P18" s="11">
        <f>SUM(P15:P17)</f>
        <v>105414.39999999999</v>
      </c>
      <c r="Q18" s="11">
        <f>SUM(Q15:Q17)</f>
        <v>151257.60000000001</v>
      </c>
      <c r="R18" s="11">
        <f>SUM(R15:R17)</f>
        <v>151257.60000000001</v>
      </c>
      <c r="S18" s="11">
        <f>SUM(S15:S17)</f>
        <v>151257.60000000001</v>
      </c>
      <c r="T18" s="11"/>
      <c r="U18" s="59">
        <f>O18/Revenue!O$8</f>
        <v>0.48489837921276047</v>
      </c>
      <c r="V18" s="59">
        <f>P18/Revenue!P$8</f>
        <v>0.49669839636394814</v>
      </c>
      <c r="W18" s="59">
        <f>Q18/Revenue!Q$8</f>
        <v>0.54823488834294087</v>
      </c>
      <c r="X18" s="59">
        <f>R18/Revenue!R$8</f>
        <v>0.49839535303903704</v>
      </c>
      <c r="Y18" s="59">
        <f>S18/Revenue!S$8</f>
        <v>0.47466224098955923</v>
      </c>
      <c r="Z18" s="11"/>
      <c r="AA18" s="11"/>
      <c r="AB18" s="11"/>
      <c r="AC18" s="11"/>
    </row>
    <row r="19" spans="1:29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1"/>
      <c r="O19" s="11"/>
      <c r="P19" s="11"/>
      <c r="Q19" s="11"/>
      <c r="R19" s="11"/>
      <c r="S19" s="11"/>
      <c r="T19" s="11"/>
      <c r="V19" s="59"/>
      <c r="W19" s="59"/>
      <c r="X19" s="59"/>
      <c r="Y19" s="59"/>
      <c r="Z19" s="11"/>
      <c r="AA19" s="11"/>
      <c r="AB19" s="11"/>
      <c r="AC19" s="11"/>
    </row>
    <row r="20" spans="1:29" x14ac:dyDescent="0.25">
      <c r="A20" s="2" t="s">
        <v>84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1"/>
      <c r="P20" s="11"/>
      <c r="Q20" s="11"/>
      <c r="R20" s="11"/>
      <c r="S20" s="11"/>
      <c r="T20" s="11"/>
      <c r="V20" s="59"/>
      <c r="W20" s="59"/>
      <c r="X20" s="59"/>
      <c r="Y20" s="59"/>
      <c r="Z20" s="11"/>
      <c r="AA20" s="11"/>
      <c r="AB20" s="11"/>
      <c r="AC20" s="11"/>
    </row>
    <row r="21" spans="1:29" x14ac:dyDescent="0.25">
      <c r="A21" s="2" t="s">
        <v>36</v>
      </c>
      <c r="B21" s="81">
        <v>190</v>
      </c>
      <c r="C21" s="81">
        <v>190</v>
      </c>
      <c r="D21" s="81">
        <v>190</v>
      </c>
      <c r="E21" s="81">
        <v>190</v>
      </c>
      <c r="F21" s="81">
        <v>190</v>
      </c>
      <c r="G21" s="81">
        <v>190</v>
      </c>
      <c r="H21" s="81">
        <v>190</v>
      </c>
      <c r="I21" s="81">
        <v>190</v>
      </c>
      <c r="J21" s="81">
        <v>190</v>
      </c>
      <c r="K21" s="81">
        <v>190</v>
      </c>
      <c r="L21" s="81">
        <v>190</v>
      </c>
      <c r="M21" s="81">
        <v>190</v>
      </c>
      <c r="N21" s="81"/>
      <c r="O21" s="11">
        <f>SUM(B21:M21)</f>
        <v>2280</v>
      </c>
      <c r="P21" s="11">
        <f>O21*(1+Assumptions!J2)</f>
        <v>2964</v>
      </c>
      <c r="Q21" s="11">
        <f>P21*(1+Assumptions!K2)</f>
        <v>3556.7999999999997</v>
      </c>
      <c r="R21" s="11">
        <f>Q21*(1+Assumptions!L2)</f>
        <v>3912.48</v>
      </c>
      <c r="S21" s="11">
        <f>R21*(1+Assumptions!M2)</f>
        <v>4108.1040000000003</v>
      </c>
      <c r="T21" s="11"/>
      <c r="U21" s="59">
        <f>O21/Revenue!O$8</f>
        <v>1.5040272308088104E-2</v>
      </c>
      <c r="V21" s="59">
        <f>P21/Revenue!P$8</f>
        <v>1.3965967143224668E-2</v>
      </c>
      <c r="W21" s="59">
        <f>Q21/Revenue!Q$8</f>
        <v>1.2891661978361231E-2</v>
      </c>
      <c r="X21" s="59">
        <f>R21/Revenue!R$8</f>
        <v>1.2891661978361231E-2</v>
      </c>
      <c r="Y21" s="59">
        <f>S21/Revenue!S$8</f>
        <v>1.2891661978361234E-2</v>
      </c>
      <c r="Z21" s="11"/>
      <c r="AA21" s="11"/>
      <c r="AB21" s="11"/>
      <c r="AC21" s="11"/>
    </row>
    <row r="22" spans="1:29" x14ac:dyDescent="0.25">
      <c r="A22" s="2" t="s">
        <v>37</v>
      </c>
      <c r="B22" s="81">
        <v>160</v>
      </c>
      <c r="C22" s="81">
        <v>160</v>
      </c>
      <c r="D22" s="81">
        <v>160</v>
      </c>
      <c r="E22" s="81">
        <v>160</v>
      </c>
      <c r="F22" s="81">
        <v>160</v>
      </c>
      <c r="G22" s="81">
        <v>160</v>
      </c>
      <c r="H22" s="81">
        <v>160</v>
      </c>
      <c r="I22" s="81">
        <v>160</v>
      </c>
      <c r="J22" s="81">
        <v>160</v>
      </c>
      <c r="K22" s="81">
        <v>160</v>
      </c>
      <c r="L22" s="81">
        <v>160</v>
      </c>
      <c r="M22" s="81">
        <v>160</v>
      </c>
      <c r="N22" s="81"/>
      <c r="O22" s="11">
        <f t="shared" ref="O22:O28" si="7">SUM(B22:M22)</f>
        <v>1920</v>
      </c>
      <c r="P22" s="11">
        <f>O22*(1+Assumptions!J3)</f>
        <v>2496</v>
      </c>
      <c r="Q22" s="11">
        <f>P22*(1+Assumptions!K3)</f>
        <v>2995.2</v>
      </c>
      <c r="R22" s="11">
        <f>Q22*(1+Assumptions!L3)</f>
        <v>3294.7200000000003</v>
      </c>
      <c r="S22" s="11">
        <f>R22*(1+Assumptions!M3)</f>
        <v>3459.4560000000006</v>
      </c>
      <c r="T22" s="11"/>
      <c r="U22" s="59">
        <f>O22/Revenue!O$8</f>
        <v>1.2665492469968931E-2</v>
      </c>
      <c r="V22" s="59">
        <f>P22/Revenue!P$8</f>
        <v>1.176081443639972E-2</v>
      </c>
      <c r="W22" s="59">
        <f>Q22/Revenue!Q$8</f>
        <v>1.0856136402830511E-2</v>
      </c>
      <c r="X22" s="59">
        <f>R22/Revenue!R$8</f>
        <v>1.0856136402830511E-2</v>
      </c>
      <c r="Y22" s="59">
        <f>S22/Revenue!S$8</f>
        <v>1.0856136402830514E-2</v>
      </c>
      <c r="Z22" s="11"/>
      <c r="AA22" s="11"/>
      <c r="AB22" s="11"/>
      <c r="AC22" s="11"/>
    </row>
    <row r="23" spans="1:29" x14ac:dyDescent="0.25">
      <c r="A23" s="2" t="s">
        <v>38</v>
      </c>
      <c r="B23" s="81">
        <f>Assumptions!$I$28*Revenue!B8</f>
        <v>376.73999999999995</v>
      </c>
      <c r="C23" s="81">
        <f>Assumptions!$I$28*Revenue!C8</f>
        <v>627.90000000000009</v>
      </c>
      <c r="D23" s="81">
        <f>Assumptions!$I$28*Revenue!D8</f>
        <v>753.4799999999999</v>
      </c>
      <c r="E23" s="81">
        <f>Assumptions!$I$28*Revenue!E8</f>
        <v>816.2700000000001</v>
      </c>
      <c r="F23" s="81">
        <f>Assumptions!$I$28*Revenue!F8</f>
        <v>879.06000000000006</v>
      </c>
      <c r="G23" s="81">
        <f>Assumptions!$I$28*Revenue!G8</f>
        <v>1004.6400000000001</v>
      </c>
      <c r="H23" s="81">
        <f>Assumptions!$I$28*Revenue!H8</f>
        <v>879.06000000000006</v>
      </c>
      <c r="I23" s="81">
        <f>Assumptions!$I$28*Revenue!I8</f>
        <v>1004.6400000000001</v>
      </c>
      <c r="J23" s="81">
        <f>Assumptions!$I$28*Revenue!J8</f>
        <v>1004.6400000000001</v>
      </c>
      <c r="K23" s="81">
        <f>Assumptions!$I$28*Revenue!K8</f>
        <v>1004.6400000000001</v>
      </c>
      <c r="L23" s="81">
        <f>Assumptions!$I$28*Revenue!L8</f>
        <v>1130.2200000000003</v>
      </c>
      <c r="M23" s="81">
        <f>Assumptions!$I$28*Revenue!M8</f>
        <v>1130.2200000000003</v>
      </c>
      <c r="N23" s="81"/>
      <c r="O23" s="11">
        <f>SUM(B23:M23)</f>
        <v>10611.510000000002</v>
      </c>
      <c r="P23" s="11">
        <f>Revenue!P9*Assumptions!J28</f>
        <v>13370.502600000003</v>
      </c>
      <c r="Q23" s="11">
        <f>Revenue!Q9*Assumptions!K28</f>
        <v>17381.653380000003</v>
      </c>
      <c r="R23" s="11">
        <f>Revenue!R9*Assumptions!L28</f>
        <v>19119.818718000006</v>
      </c>
      <c r="S23" s="11">
        <f>Revenue!S9*Assumptions!M28</f>
        <v>20075.809653900003</v>
      </c>
      <c r="T23" s="11"/>
      <c r="U23" s="59">
        <f>O23/Revenue!O$8</f>
        <v>7.0000000000000007E-2</v>
      </c>
      <c r="V23" s="59">
        <f>P23/Revenue!P$8</f>
        <v>6.3000000000000014E-2</v>
      </c>
      <c r="W23" s="59">
        <f>Q23/Revenue!Q$8</f>
        <v>6.3000000000000014E-2</v>
      </c>
      <c r="X23" s="59">
        <f>R23/Revenue!R$8</f>
        <v>6.3000000000000014E-2</v>
      </c>
      <c r="Y23" s="59">
        <f>S23/Revenue!S$8</f>
        <v>6.3000000000000014E-2</v>
      </c>
      <c r="Z23" s="11"/>
      <c r="AA23" s="11"/>
      <c r="AB23" s="11"/>
      <c r="AC23" s="11"/>
    </row>
    <row r="24" spans="1:29" x14ac:dyDescent="0.25">
      <c r="A24" s="2" t="s">
        <v>40</v>
      </c>
      <c r="B24" s="81">
        <v>75</v>
      </c>
      <c r="C24" s="81">
        <v>75</v>
      </c>
      <c r="D24" s="81">
        <v>75</v>
      </c>
      <c r="E24" s="81">
        <v>75</v>
      </c>
      <c r="F24" s="81">
        <v>75</v>
      </c>
      <c r="G24" s="81">
        <v>75</v>
      </c>
      <c r="H24" s="81">
        <v>75</v>
      </c>
      <c r="I24" s="81">
        <v>75</v>
      </c>
      <c r="J24" s="81">
        <v>75</v>
      </c>
      <c r="K24" s="81">
        <v>75</v>
      </c>
      <c r="L24" s="81">
        <v>75</v>
      </c>
      <c r="M24" s="81">
        <v>75</v>
      </c>
      <c r="N24" s="81"/>
      <c r="O24" s="11">
        <f t="shared" si="7"/>
        <v>900</v>
      </c>
      <c r="P24" s="11">
        <f>O24*(1+Assumptions!J5)</f>
        <v>1170</v>
      </c>
      <c r="Q24" s="11">
        <f>P24*(1+Assumptions!K5)</f>
        <v>1404</v>
      </c>
      <c r="R24" s="11">
        <f>Q24*(1+Assumptions!L5)</f>
        <v>1544.4</v>
      </c>
      <c r="S24" s="11">
        <f>R24*(1+Assumptions!M5)</f>
        <v>1621.6200000000001</v>
      </c>
      <c r="T24" s="11"/>
      <c r="U24" s="59">
        <f>O24/Revenue!O$8</f>
        <v>5.9369495952979363E-3</v>
      </c>
      <c r="V24" s="59">
        <f>P24/Revenue!P$8</f>
        <v>5.5128817670623683E-3</v>
      </c>
      <c r="W24" s="59">
        <f>Q24/Revenue!Q$8</f>
        <v>5.0888139388268021E-3</v>
      </c>
      <c r="X24" s="59">
        <f>R24/Revenue!R$8</f>
        <v>5.0888139388268021E-3</v>
      </c>
      <c r="Y24" s="59">
        <f>S24/Revenue!S$8</f>
        <v>5.0888139388268029E-3</v>
      </c>
      <c r="Z24" s="11"/>
      <c r="AA24" s="11"/>
      <c r="AB24" s="11"/>
      <c r="AC24" s="11"/>
    </row>
    <row r="25" spans="1:29" x14ac:dyDescent="0.25">
      <c r="A25" s="2" t="s">
        <v>41</v>
      </c>
      <c r="B25" s="81">
        <v>45</v>
      </c>
      <c r="C25" s="81">
        <v>45</v>
      </c>
      <c r="D25" s="81">
        <v>45</v>
      </c>
      <c r="E25" s="81">
        <v>45</v>
      </c>
      <c r="F25" s="81">
        <v>45</v>
      </c>
      <c r="G25" s="81">
        <v>45</v>
      </c>
      <c r="H25" s="81">
        <v>45</v>
      </c>
      <c r="I25" s="81">
        <v>45</v>
      </c>
      <c r="J25" s="81">
        <v>45</v>
      </c>
      <c r="K25" s="81">
        <v>45</v>
      </c>
      <c r="L25" s="81">
        <v>45</v>
      </c>
      <c r="M25" s="81">
        <v>45</v>
      </c>
      <c r="N25" s="81"/>
      <c r="O25" s="11">
        <f t="shared" si="7"/>
        <v>540</v>
      </c>
      <c r="P25" s="11">
        <f>O25*(1+Assumptions!J6)</f>
        <v>702</v>
      </c>
      <c r="Q25" s="11">
        <f>P25*(1+Assumptions!K6)</f>
        <v>842.4</v>
      </c>
      <c r="R25" s="11">
        <f>Q25*(1+Assumptions!L6)</f>
        <v>926.6400000000001</v>
      </c>
      <c r="S25" s="11">
        <f>R25*(1+Assumptions!M6)</f>
        <v>972.97200000000009</v>
      </c>
      <c r="T25" s="11"/>
      <c r="U25" s="59">
        <f>O25/Revenue!O$8</f>
        <v>3.5621697571787615E-3</v>
      </c>
      <c r="V25" s="59">
        <f>P25/Revenue!P$8</f>
        <v>3.3077290602374211E-3</v>
      </c>
      <c r="W25" s="59">
        <f>Q25/Revenue!Q$8</f>
        <v>3.0532883632960811E-3</v>
      </c>
      <c r="X25" s="59">
        <f>R25/Revenue!R$8</f>
        <v>3.0532883632960811E-3</v>
      </c>
      <c r="Y25" s="59">
        <f>S25/Revenue!S$8</f>
        <v>3.0532883632960819E-3</v>
      </c>
      <c r="Z25" s="11"/>
      <c r="AA25" s="11"/>
      <c r="AB25" s="11"/>
      <c r="AC25" s="11"/>
    </row>
    <row r="26" spans="1:29" x14ac:dyDescent="0.25">
      <c r="A26" s="2" t="s">
        <v>42</v>
      </c>
      <c r="B26" s="81">
        <v>45</v>
      </c>
      <c r="C26" s="81">
        <v>45</v>
      </c>
      <c r="D26" s="81">
        <v>45</v>
      </c>
      <c r="E26" s="81">
        <v>45</v>
      </c>
      <c r="F26" s="81">
        <v>45</v>
      </c>
      <c r="G26" s="81">
        <v>45</v>
      </c>
      <c r="H26" s="81">
        <v>45</v>
      </c>
      <c r="I26" s="81">
        <v>45</v>
      </c>
      <c r="J26" s="81">
        <v>45</v>
      </c>
      <c r="K26" s="81">
        <v>45</v>
      </c>
      <c r="L26" s="81">
        <v>45</v>
      </c>
      <c r="M26" s="81">
        <v>45</v>
      </c>
      <c r="N26" s="81"/>
      <c r="O26" s="11">
        <f t="shared" si="7"/>
        <v>540</v>
      </c>
      <c r="P26" s="11">
        <f>O26*(1+Assumptions!J7)</f>
        <v>702</v>
      </c>
      <c r="Q26" s="11">
        <f>P26*(1+Assumptions!K7)</f>
        <v>842.4</v>
      </c>
      <c r="R26" s="11">
        <f>Q26*(1+Assumptions!L7)</f>
        <v>926.6400000000001</v>
      </c>
      <c r="S26" s="11">
        <f>R26*(1+Assumptions!M7)</f>
        <v>972.97200000000009</v>
      </c>
      <c r="T26" s="11"/>
      <c r="U26" s="59">
        <f>O26/Revenue!O$8</f>
        <v>3.5621697571787615E-3</v>
      </c>
      <c r="V26" s="59">
        <f>P26/Revenue!P$8</f>
        <v>3.3077290602374211E-3</v>
      </c>
      <c r="W26" s="59">
        <f>Q26/Revenue!Q$8</f>
        <v>3.0532883632960811E-3</v>
      </c>
      <c r="X26" s="59">
        <f>R26/Revenue!R$8</f>
        <v>3.0532883632960811E-3</v>
      </c>
      <c r="Y26" s="59">
        <f>S26/Revenue!S$8</f>
        <v>3.0532883632960819E-3</v>
      </c>
      <c r="Z26" s="11"/>
      <c r="AA26" s="11"/>
      <c r="AB26" s="11"/>
      <c r="AC26" s="11"/>
    </row>
    <row r="27" spans="1:29" x14ac:dyDescent="0.25">
      <c r="A27" s="2" t="s">
        <v>43</v>
      </c>
      <c r="B27" s="81">
        <v>20</v>
      </c>
      <c r="C27" s="81">
        <v>20</v>
      </c>
      <c r="D27" s="81">
        <v>20</v>
      </c>
      <c r="E27" s="81">
        <v>20</v>
      </c>
      <c r="F27" s="81">
        <v>20</v>
      </c>
      <c r="G27" s="81">
        <v>20</v>
      </c>
      <c r="H27" s="81">
        <v>20</v>
      </c>
      <c r="I27" s="81">
        <v>20</v>
      </c>
      <c r="J27" s="81">
        <v>20</v>
      </c>
      <c r="K27" s="81">
        <v>20</v>
      </c>
      <c r="L27" s="81">
        <v>20</v>
      </c>
      <c r="M27" s="81">
        <v>20</v>
      </c>
      <c r="N27" s="81"/>
      <c r="O27" s="11">
        <f t="shared" si="7"/>
        <v>240</v>
      </c>
      <c r="P27" s="11">
        <f>O27*(1+Assumptions!J8)</f>
        <v>312</v>
      </c>
      <c r="Q27" s="11">
        <f>P27*(1+Assumptions!K8)</f>
        <v>374.4</v>
      </c>
      <c r="R27" s="11">
        <f>Q27*(1+Assumptions!L8)</f>
        <v>411.84000000000003</v>
      </c>
      <c r="S27" s="11">
        <f>R27*(1+Assumptions!M8)</f>
        <v>432.43200000000007</v>
      </c>
      <c r="T27" s="11"/>
      <c r="U27" s="59">
        <f>O27/Revenue!O$8</f>
        <v>1.5831865587461163E-3</v>
      </c>
      <c r="V27" s="59">
        <f>P27/Revenue!P$8</f>
        <v>1.470101804549965E-3</v>
      </c>
      <c r="W27" s="59">
        <f>Q27/Revenue!Q$8</f>
        <v>1.3570170503538139E-3</v>
      </c>
      <c r="X27" s="59">
        <f>R27/Revenue!R$8</f>
        <v>1.3570170503538139E-3</v>
      </c>
      <c r="Y27" s="59">
        <f>S27/Revenue!S$8</f>
        <v>1.3570170503538143E-3</v>
      </c>
      <c r="Z27" s="11"/>
      <c r="AA27" s="11"/>
      <c r="AB27" s="11"/>
      <c r="AC27" s="11"/>
    </row>
    <row r="28" spans="1:29" s="3" customFormat="1" x14ac:dyDescent="0.25">
      <c r="A28" s="3" t="s">
        <v>44</v>
      </c>
      <c r="B28" s="82">
        <v>100</v>
      </c>
      <c r="C28" s="82">
        <v>100</v>
      </c>
      <c r="D28" s="82">
        <v>100</v>
      </c>
      <c r="E28" s="82">
        <v>100</v>
      </c>
      <c r="F28" s="82">
        <v>100</v>
      </c>
      <c r="G28" s="82">
        <v>100</v>
      </c>
      <c r="H28" s="82">
        <v>100</v>
      </c>
      <c r="I28" s="82">
        <v>100</v>
      </c>
      <c r="J28" s="82">
        <v>100</v>
      </c>
      <c r="K28" s="82">
        <v>100</v>
      </c>
      <c r="L28" s="82">
        <v>100</v>
      </c>
      <c r="M28" s="82">
        <v>100</v>
      </c>
      <c r="N28" s="82"/>
      <c r="O28" s="9">
        <f t="shared" si="7"/>
        <v>1200</v>
      </c>
      <c r="P28" s="9">
        <f>O28*(1+Assumptions!J9)</f>
        <v>1560</v>
      </c>
      <c r="Q28" s="9">
        <f>P28*(1+Assumptions!K9)</f>
        <v>1872</v>
      </c>
      <c r="R28" s="9">
        <f>Q28*(1+Assumptions!L9)</f>
        <v>2059.2000000000003</v>
      </c>
      <c r="S28" s="9">
        <f>R28*(1+Assumptions!M9)</f>
        <v>2162.1600000000003</v>
      </c>
      <c r="T28" s="9"/>
      <c r="U28" s="88">
        <f>O28/Revenue!O$8</f>
        <v>7.9159327937305818E-3</v>
      </c>
      <c r="V28" s="88">
        <f>P28/Revenue!P$8</f>
        <v>7.3505090227498253E-3</v>
      </c>
      <c r="W28" s="88">
        <f>Q28/Revenue!Q$8</f>
        <v>6.7850852517690697E-3</v>
      </c>
      <c r="X28" s="88">
        <f>R28/Revenue!R$8</f>
        <v>6.7850852517690697E-3</v>
      </c>
      <c r="Y28" s="88">
        <f>S28/Revenue!S$8</f>
        <v>6.7850852517690715E-3</v>
      </c>
      <c r="Z28" s="9"/>
      <c r="AA28" s="9"/>
      <c r="AB28" s="9"/>
      <c r="AC28" s="9"/>
    </row>
    <row r="29" spans="1:29" x14ac:dyDescent="0.25">
      <c r="A29" s="2" t="s">
        <v>85</v>
      </c>
      <c r="B29" s="81">
        <f>SUM(B21:B28)</f>
        <v>1011.74</v>
      </c>
      <c r="C29" s="81">
        <f t="shared" ref="C29:S29" si="8">SUM(C21:C28)</f>
        <v>1262.9000000000001</v>
      </c>
      <c r="D29" s="81">
        <f t="shared" si="8"/>
        <v>1388.48</v>
      </c>
      <c r="E29" s="81">
        <f t="shared" si="8"/>
        <v>1451.27</v>
      </c>
      <c r="F29" s="81">
        <f t="shared" si="8"/>
        <v>1514.06</v>
      </c>
      <c r="G29" s="81">
        <f t="shared" si="8"/>
        <v>1639.64</v>
      </c>
      <c r="H29" s="81">
        <f t="shared" si="8"/>
        <v>1514.06</v>
      </c>
      <c r="I29" s="81">
        <f t="shared" si="8"/>
        <v>1639.64</v>
      </c>
      <c r="J29" s="81">
        <f t="shared" si="8"/>
        <v>1639.64</v>
      </c>
      <c r="K29" s="81">
        <f t="shared" si="8"/>
        <v>1639.64</v>
      </c>
      <c r="L29" s="81">
        <f t="shared" si="8"/>
        <v>1765.2200000000003</v>
      </c>
      <c r="M29" s="81">
        <f t="shared" si="8"/>
        <v>1765.2200000000003</v>
      </c>
      <c r="N29" s="81"/>
      <c r="O29" s="11">
        <f t="shared" si="8"/>
        <v>18231.510000000002</v>
      </c>
      <c r="P29" s="11">
        <f t="shared" si="8"/>
        <v>23276.502600000003</v>
      </c>
      <c r="Q29" s="11">
        <f t="shared" si="8"/>
        <v>29268.853380000008</v>
      </c>
      <c r="R29" s="11">
        <f t="shared" si="8"/>
        <v>32195.738718000008</v>
      </c>
      <c r="S29" s="11">
        <f t="shared" si="8"/>
        <v>33805.525653900011</v>
      </c>
      <c r="T29" s="11"/>
      <c r="U29" s="59">
        <f>O29/Revenue!O$8</f>
        <v>0.12026617324018921</v>
      </c>
      <c r="V29" s="59">
        <f>P29/Revenue!P$8</f>
        <v>0.1096757322944614</v>
      </c>
      <c r="W29" s="59">
        <f>Q29/Revenue!Q$8</f>
        <v>0.10608529134873362</v>
      </c>
      <c r="X29" s="59">
        <f>R29/Revenue!R$8</f>
        <v>0.1060852913487336</v>
      </c>
      <c r="Y29" s="59">
        <f>S29/Revenue!S$8</f>
        <v>0.10608529134873364</v>
      </c>
      <c r="Z29" s="11"/>
      <c r="AA29" s="11"/>
      <c r="AB29" s="11"/>
      <c r="AC29" s="11"/>
    </row>
    <row r="30" spans="1:29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"/>
      <c r="P30" s="11"/>
      <c r="Q30" s="11"/>
      <c r="R30" s="11"/>
      <c r="S30" s="11"/>
      <c r="T30" s="11"/>
      <c r="V30" s="59"/>
      <c r="W30" s="59"/>
      <c r="X30" s="59"/>
      <c r="Y30" s="59"/>
      <c r="Z30" s="11"/>
      <c r="AA30" s="11"/>
      <c r="AB30" s="11"/>
      <c r="AC30" s="11"/>
    </row>
    <row r="31" spans="1:29" x14ac:dyDescent="0.25">
      <c r="A31" s="2" t="s">
        <v>86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11"/>
      <c r="P31" s="11"/>
      <c r="Q31" s="11"/>
      <c r="R31" s="11"/>
      <c r="S31" s="11"/>
      <c r="T31" s="11"/>
      <c r="V31" s="59"/>
      <c r="W31" s="59"/>
      <c r="X31" s="59"/>
      <c r="Y31" s="59"/>
      <c r="Z31" s="11"/>
      <c r="AA31" s="11"/>
      <c r="AB31" s="11"/>
      <c r="AC31" s="11"/>
    </row>
    <row r="32" spans="1:29" x14ac:dyDescent="0.25">
      <c r="A32" s="2" t="s">
        <v>46</v>
      </c>
      <c r="B32" s="81">
        <v>1950</v>
      </c>
      <c r="C32" s="81">
        <v>1950</v>
      </c>
      <c r="D32" s="81">
        <v>1950</v>
      </c>
      <c r="E32" s="81">
        <v>1950</v>
      </c>
      <c r="F32" s="81">
        <v>1950</v>
      </c>
      <c r="G32" s="81">
        <v>1950</v>
      </c>
      <c r="H32" s="81">
        <v>1950</v>
      </c>
      <c r="I32" s="81">
        <v>1950</v>
      </c>
      <c r="J32" s="81">
        <v>1950</v>
      </c>
      <c r="K32" s="81">
        <v>1950</v>
      </c>
      <c r="L32" s="81">
        <v>1950</v>
      </c>
      <c r="M32" s="81">
        <v>1950</v>
      </c>
      <c r="N32" s="81"/>
      <c r="O32" s="11">
        <f t="shared" ref="O32:O43" si="9">SUM(B32:M32)</f>
        <v>23400</v>
      </c>
      <c r="P32" s="11">
        <f>O32*(1+Assumptions!J11)</f>
        <v>23400</v>
      </c>
      <c r="Q32" s="11">
        <f>P32*(1+Assumptions!K11)</f>
        <v>23400</v>
      </c>
      <c r="R32" s="11">
        <f>Q32*(1+Assumptions!L11)</f>
        <v>24570</v>
      </c>
      <c r="S32" s="11">
        <f>R32*(1+Assumptions!M11)</f>
        <v>24570</v>
      </c>
      <c r="T32" s="11"/>
      <c r="U32" s="59">
        <f>O32/Revenue!O$8</f>
        <v>0.15436068947774634</v>
      </c>
      <c r="V32" s="59">
        <f>P32/Revenue!P$8</f>
        <v>0.11025763534124737</v>
      </c>
      <c r="W32" s="59">
        <f>Q32/Revenue!Q$8</f>
        <v>8.481356564711337E-2</v>
      </c>
      <c r="X32" s="59">
        <f>R32/Revenue!R$8</f>
        <v>8.0958403572244569E-2</v>
      </c>
      <c r="Y32" s="59">
        <f>S32/Revenue!S$8</f>
        <v>7.7103241497375796E-2</v>
      </c>
      <c r="Z32" s="11"/>
      <c r="AA32" s="11"/>
      <c r="AB32" s="11"/>
      <c r="AC32" s="11"/>
    </row>
    <row r="33" spans="1:29" x14ac:dyDescent="0.25">
      <c r="A33" s="2" t="s">
        <v>47</v>
      </c>
      <c r="B33" s="81">
        <v>200</v>
      </c>
      <c r="C33" s="81">
        <v>200</v>
      </c>
      <c r="D33" s="81">
        <v>200</v>
      </c>
      <c r="E33" s="81">
        <v>200</v>
      </c>
      <c r="F33" s="81">
        <v>200</v>
      </c>
      <c r="G33" s="81">
        <v>200</v>
      </c>
      <c r="H33" s="81">
        <v>200</v>
      </c>
      <c r="I33" s="81">
        <v>200</v>
      </c>
      <c r="J33" s="81">
        <v>200</v>
      </c>
      <c r="K33" s="81">
        <v>200</v>
      </c>
      <c r="L33" s="81">
        <v>200</v>
      </c>
      <c r="M33" s="81">
        <v>200</v>
      </c>
      <c r="N33" s="81"/>
      <c r="O33" s="11">
        <f t="shared" si="9"/>
        <v>2400</v>
      </c>
      <c r="P33" s="11">
        <f>O33*(1+Assumptions!J12)</f>
        <v>2400</v>
      </c>
      <c r="Q33" s="11">
        <f>P33*(1+Assumptions!K12)</f>
        <v>2400</v>
      </c>
      <c r="R33" s="11">
        <f>Q33*(1+Assumptions!L12)</f>
        <v>2400</v>
      </c>
      <c r="S33" s="11">
        <f>R33*(1+Assumptions!M12)</f>
        <v>2400</v>
      </c>
      <c r="T33" s="11"/>
      <c r="U33" s="59">
        <f>O33/Revenue!O$8</f>
        <v>1.5831865587461164E-2</v>
      </c>
      <c r="V33" s="59">
        <f>P33/Revenue!P$8</f>
        <v>1.1308475419615115E-2</v>
      </c>
      <c r="W33" s="59">
        <f>Q33/Revenue!Q$8</f>
        <v>8.6988272458577813E-3</v>
      </c>
      <c r="X33" s="59">
        <f>R33/Revenue!R$8</f>
        <v>7.9080247689616179E-3</v>
      </c>
      <c r="Y33" s="59">
        <f>S33/Revenue!S$8</f>
        <v>7.5314521609158285E-3</v>
      </c>
      <c r="Z33" s="11"/>
      <c r="AA33" s="11"/>
      <c r="AB33" s="11"/>
      <c r="AC33" s="11"/>
    </row>
    <row r="34" spans="1:29" x14ac:dyDescent="0.25">
      <c r="A34" s="2" t="s">
        <v>48</v>
      </c>
      <c r="B34" s="81">
        <v>175</v>
      </c>
      <c r="C34" s="81">
        <v>175</v>
      </c>
      <c r="D34" s="81">
        <v>175</v>
      </c>
      <c r="E34" s="81">
        <v>175</v>
      </c>
      <c r="F34" s="81">
        <v>175</v>
      </c>
      <c r="G34" s="81">
        <v>175</v>
      </c>
      <c r="H34" s="81">
        <v>175</v>
      </c>
      <c r="I34" s="81">
        <v>175</v>
      </c>
      <c r="J34" s="81">
        <v>175</v>
      </c>
      <c r="K34" s="81">
        <v>175</v>
      </c>
      <c r="L34" s="81">
        <v>175</v>
      </c>
      <c r="M34" s="81">
        <v>175</v>
      </c>
      <c r="N34" s="81"/>
      <c r="O34" s="11">
        <f t="shared" si="9"/>
        <v>2100</v>
      </c>
      <c r="P34" s="11">
        <f>O34*(1+Assumptions!J13)</f>
        <v>2205</v>
      </c>
      <c r="Q34" s="11">
        <f>P34*(1+Assumptions!K13)</f>
        <v>2293.2000000000003</v>
      </c>
      <c r="R34" s="11">
        <f>Q34*(1+Assumptions!L13)</f>
        <v>2361.9960000000005</v>
      </c>
      <c r="S34" s="11">
        <f>R34*(1+Assumptions!M13)</f>
        <v>2409.2359200000005</v>
      </c>
      <c r="T34" s="11"/>
      <c r="U34" s="59">
        <f>O34/Revenue!O$8</f>
        <v>1.3852882389028516E-2</v>
      </c>
      <c r="V34" s="59">
        <f>P34/Revenue!P$8</f>
        <v>1.0389661791771388E-2</v>
      </c>
      <c r="W34" s="59">
        <f>Q34/Revenue!Q$8</f>
        <v>8.3117294334171116E-3</v>
      </c>
      <c r="X34" s="59">
        <f>R34/Revenue!R$8</f>
        <v>7.782801196745113E-3</v>
      </c>
      <c r="Y34" s="59">
        <f>S34/Revenue!S$8</f>
        <v>7.5604354482666832E-3</v>
      </c>
      <c r="Z34" s="11"/>
      <c r="AA34" s="11"/>
      <c r="AB34" s="11"/>
      <c r="AC34" s="11"/>
    </row>
    <row r="35" spans="1:29" x14ac:dyDescent="0.25">
      <c r="A35" s="2" t="s">
        <v>49</v>
      </c>
      <c r="B35" s="81">
        <v>275</v>
      </c>
      <c r="C35" s="81">
        <v>275</v>
      </c>
      <c r="D35" s="81">
        <v>275</v>
      </c>
      <c r="E35" s="81">
        <v>275</v>
      </c>
      <c r="F35" s="81">
        <v>275</v>
      </c>
      <c r="G35" s="81">
        <v>275</v>
      </c>
      <c r="H35" s="81">
        <v>275</v>
      </c>
      <c r="I35" s="81">
        <v>275</v>
      </c>
      <c r="J35" s="81">
        <v>275</v>
      </c>
      <c r="K35" s="81">
        <v>275</v>
      </c>
      <c r="L35" s="81">
        <v>275</v>
      </c>
      <c r="M35" s="81">
        <v>275</v>
      </c>
      <c r="N35" s="81"/>
      <c r="O35" s="11">
        <f t="shared" si="9"/>
        <v>3300</v>
      </c>
      <c r="P35" s="11">
        <f>O35*(1+Assumptions!J14)</f>
        <v>3465</v>
      </c>
      <c r="Q35" s="11">
        <f>P35*(1+Assumptions!K14)</f>
        <v>3603.6</v>
      </c>
      <c r="R35" s="11">
        <f>Q35*(1+Assumptions!L14)</f>
        <v>3711.7080000000001</v>
      </c>
      <c r="S35" s="11">
        <f>R35*(1+Assumptions!M14)</f>
        <v>3785.9421600000001</v>
      </c>
      <c r="T35" s="11"/>
      <c r="U35" s="59">
        <f>O35/Revenue!O$8</f>
        <v>2.17688151827591E-2</v>
      </c>
      <c r="V35" s="59">
        <f>P35/Revenue!P$8</f>
        <v>1.6326611387069322E-2</v>
      </c>
      <c r="W35" s="59">
        <f>Q35/Revenue!Q$8</f>
        <v>1.3061289109655459E-2</v>
      </c>
      <c r="X35" s="59">
        <f>R35/Revenue!R$8</f>
        <v>1.2230116166313747E-2</v>
      </c>
      <c r="Y35" s="59">
        <f>S35/Revenue!S$8</f>
        <v>1.1880684275847642E-2</v>
      </c>
      <c r="Z35" s="11"/>
      <c r="AA35" s="11"/>
      <c r="AB35" s="11"/>
      <c r="AC35" s="11"/>
    </row>
    <row r="36" spans="1:29" x14ac:dyDescent="0.25">
      <c r="A36" s="2" t="s">
        <v>51</v>
      </c>
      <c r="B36" s="81">
        <v>130</v>
      </c>
      <c r="C36" s="81">
        <v>130</v>
      </c>
      <c r="D36" s="81">
        <v>130</v>
      </c>
      <c r="E36" s="81">
        <v>130</v>
      </c>
      <c r="F36" s="81">
        <v>130</v>
      </c>
      <c r="G36" s="81">
        <v>130</v>
      </c>
      <c r="H36" s="81">
        <v>130</v>
      </c>
      <c r="I36" s="81">
        <v>130</v>
      </c>
      <c r="J36" s="81">
        <v>130</v>
      </c>
      <c r="K36" s="81">
        <v>130</v>
      </c>
      <c r="L36" s="81">
        <v>130</v>
      </c>
      <c r="M36" s="81">
        <v>130</v>
      </c>
      <c r="N36" s="81"/>
      <c r="O36" s="11">
        <f t="shared" si="9"/>
        <v>1560</v>
      </c>
      <c r="P36" s="11">
        <f>O36*(1+Assumptions!J15)</f>
        <v>1638</v>
      </c>
      <c r="Q36" s="11">
        <f>P36*(1+Assumptions!K15)</f>
        <v>1703.52</v>
      </c>
      <c r="R36" s="11">
        <f>Q36*(1+Assumptions!L15)</f>
        <v>1754.6256000000001</v>
      </c>
      <c r="S36" s="11">
        <f>R36*(1+Assumptions!M15)</f>
        <v>1789.718112</v>
      </c>
      <c r="T36" s="11"/>
      <c r="U36" s="59">
        <f>O36/Revenue!O$8</f>
        <v>1.0290712631849755E-2</v>
      </c>
      <c r="V36" s="59">
        <f>P36/Revenue!P$8</f>
        <v>7.718034473887316E-3</v>
      </c>
      <c r="W36" s="59">
        <f>Q36/Revenue!Q$8</f>
        <v>6.1744275791098535E-3</v>
      </c>
      <c r="X36" s="59">
        <f>R36/Revenue!R$8</f>
        <v>5.7815094604392256E-3</v>
      </c>
      <c r="Y36" s="59">
        <f>S36/Revenue!S$8</f>
        <v>5.6163234758552488E-3</v>
      </c>
      <c r="Z36" s="11"/>
      <c r="AA36" s="11"/>
      <c r="AB36" s="11"/>
      <c r="AC36" s="11"/>
    </row>
    <row r="37" spans="1:29" x14ac:dyDescent="0.25">
      <c r="A37" s="2" t="s">
        <v>52</v>
      </c>
      <c r="B37" s="81">
        <v>175</v>
      </c>
      <c r="C37" s="81">
        <v>175</v>
      </c>
      <c r="D37" s="81">
        <v>175</v>
      </c>
      <c r="E37" s="81">
        <v>175</v>
      </c>
      <c r="F37" s="81">
        <v>175</v>
      </c>
      <c r="G37" s="81">
        <v>175</v>
      </c>
      <c r="H37" s="81">
        <v>175</v>
      </c>
      <c r="I37" s="81">
        <v>175</v>
      </c>
      <c r="J37" s="81">
        <v>175</v>
      </c>
      <c r="K37" s="81">
        <v>175</v>
      </c>
      <c r="L37" s="81">
        <v>175</v>
      </c>
      <c r="M37" s="81">
        <v>175</v>
      </c>
      <c r="N37" s="81"/>
      <c r="O37" s="11">
        <f t="shared" si="9"/>
        <v>2100</v>
      </c>
      <c r="P37" s="11">
        <f>O37*(1+Assumptions!J16)</f>
        <v>2205</v>
      </c>
      <c r="Q37" s="11">
        <f>P37*(1+Assumptions!K16)</f>
        <v>2293.2000000000003</v>
      </c>
      <c r="R37" s="11">
        <f>Q37*(1+Assumptions!L16)</f>
        <v>2361.9960000000005</v>
      </c>
      <c r="S37" s="11">
        <f>R37*(1+Assumptions!M16)</f>
        <v>2409.2359200000005</v>
      </c>
      <c r="T37" s="11"/>
      <c r="U37" s="59">
        <f>O37/Revenue!O$8</f>
        <v>1.3852882389028516E-2</v>
      </c>
      <c r="V37" s="59">
        <f>P37/Revenue!P$8</f>
        <v>1.0389661791771388E-2</v>
      </c>
      <c r="W37" s="59">
        <f>Q37/Revenue!Q$8</f>
        <v>8.3117294334171116E-3</v>
      </c>
      <c r="X37" s="59">
        <f>R37/Revenue!R$8</f>
        <v>7.782801196745113E-3</v>
      </c>
      <c r="Y37" s="59">
        <f>S37/Revenue!S$8</f>
        <v>7.5604354482666832E-3</v>
      </c>
      <c r="Z37" s="11"/>
      <c r="AA37" s="11"/>
      <c r="AB37" s="11"/>
      <c r="AC37" s="11"/>
    </row>
    <row r="38" spans="1:29" x14ac:dyDescent="0.25">
      <c r="A38" s="2" t="s">
        <v>53</v>
      </c>
      <c r="B38" s="81">
        <v>85</v>
      </c>
      <c r="C38" s="81">
        <v>85</v>
      </c>
      <c r="D38" s="81">
        <v>85</v>
      </c>
      <c r="E38" s="81">
        <v>85</v>
      </c>
      <c r="F38" s="81">
        <v>85</v>
      </c>
      <c r="G38" s="81">
        <v>85</v>
      </c>
      <c r="H38" s="81">
        <v>85</v>
      </c>
      <c r="I38" s="81">
        <v>85</v>
      </c>
      <c r="J38" s="81">
        <v>85</v>
      </c>
      <c r="K38" s="81">
        <v>85</v>
      </c>
      <c r="L38" s="81">
        <v>85</v>
      </c>
      <c r="M38" s="81">
        <v>85</v>
      </c>
      <c r="N38" s="81"/>
      <c r="O38" s="11">
        <f t="shared" si="9"/>
        <v>1020</v>
      </c>
      <c r="P38" s="11">
        <f>O38*(1+Assumptions!J17)</f>
        <v>1071</v>
      </c>
      <c r="Q38" s="11">
        <f>P38*(1+Assumptions!K17)</f>
        <v>1113.8400000000001</v>
      </c>
      <c r="R38" s="11">
        <f>Q38*(1+Assumptions!L17)</f>
        <v>1147.2552000000003</v>
      </c>
      <c r="S38" s="11">
        <f>R38*(1+Assumptions!M17)</f>
        <v>1170.2003040000004</v>
      </c>
      <c r="T38" s="11"/>
      <c r="U38" s="59">
        <f>O38/Revenue!O$8</f>
        <v>6.7285428746709942E-3</v>
      </c>
      <c r="V38" s="59">
        <f>P38/Revenue!P$8</f>
        <v>5.0464071560032452E-3</v>
      </c>
      <c r="W38" s="59">
        <f>Q38/Revenue!Q$8</f>
        <v>4.0371257248025972E-3</v>
      </c>
      <c r="X38" s="59">
        <f>R38/Revenue!R$8</f>
        <v>3.7802177241333407E-3</v>
      </c>
      <c r="Y38" s="59">
        <f>S38/Revenue!S$8</f>
        <v>3.6722115034438178E-3</v>
      </c>
      <c r="Z38" s="11"/>
      <c r="AA38" s="11"/>
      <c r="AB38" s="11"/>
      <c r="AC38" s="11"/>
    </row>
    <row r="39" spans="1:29" x14ac:dyDescent="0.25">
      <c r="A39" s="2" t="s">
        <v>55</v>
      </c>
      <c r="B39" s="81">
        <v>50</v>
      </c>
      <c r="C39" s="81">
        <v>50</v>
      </c>
      <c r="D39" s="81">
        <v>50</v>
      </c>
      <c r="E39" s="81">
        <v>50</v>
      </c>
      <c r="F39" s="81">
        <v>50</v>
      </c>
      <c r="G39" s="81">
        <v>50</v>
      </c>
      <c r="H39" s="81">
        <v>50</v>
      </c>
      <c r="I39" s="81">
        <v>50</v>
      </c>
      <c r="J39" s="81">
        <v>50</v>
      </c>
      <c r="K39" s="81">
        <v>50</v>
      </c>
      <c r="L39" s="81">
        <v>50</v>
      </c>
      <c r="M39" s="81">
        <v>50</v>
      </c>
      <c r="N39" s="81"/>
      <c r="O39" s="11">
        <f t="shared" si="9"/>
        <v>600</v>
      </c>
      <c r="P39" s="11">
        <f>O39*(1+Assumptions!J18)</f>
        <v>630</v>
      </c>
      <c r="Q39" s="11">
        <f>P39*(1+Assumptions!K18)</f>
        <v>655.20000000000005</v>
      </c>
      <c r="R39" s="11">
        <f>Q39*(1+Assumptions!L18)</f>
        <v>674.85600000000011</v>
      </c>
      <c r="S39" s="11">
        <f>R39*(1+Assumptions!M18)</f>
        <v>688.3531200000001</v>
      </c>
      <c r="T39" s="11"/>
      <c r="U39" s="59">
        <f>O39/Revenue!O$8</f>
        <v>3.9579663968652909E-3</v>
      </c>
      <c r="V39" s="59">
        <f>P39/Revenue!P$8</f>
        <v>2.9684747976489677E-3</v>
      </c>
      <c r="W39" s="59">
        <f>Q39/Revenue!Q$8</f>
        <v>2.3747798381191744E-3</v>
      </c>
      <c r="X39" s="59">
        <f>R39/Revenue!R$8</f>
        <v>2.2236574847843177E-3</v>
      </c>
      <c r="Y39" s="59">
        <f>S39/Revenue!S$8</f>
        <v>2.1601244137904809E-3</v>
      </c>
      <c r="Z39" s="11"/>
      <c r="AA39" s="11"/>
      <c r="AB39" s="11"/>
      <c r="AC39" s="11"/>
    </row>
    <row r="40" spans="1:29" x14ac:dyDescent="0.25">
      <c r="A40" s="2" t="s">
        <v>57</v>
      </c>
      <c r="B40" s="81">
        <v>20</v>
      </c>
      <c r="C40" s="81">
        <v>20</v>
      </c>
      <c r="D40" s="81">
        <v>20</v>
      </c>
      <c r="E40" s="81">
        <v>20</v>
      </c>
      <c r="F40" s="81">
        <v>20</v>
      </c>
      <c r="G40" s="81">
        <v>20</v>
      </c>
      <c r="H40" s="81">
        <v>20</v>
      </c>
      <c r="I40" s="81">
        <v>20</v>
      </c>
      <c r="J40" s="81">
        <v>20</v>
      </c>
      <c r="K40" s="81">
        <v>20</v>
      </c>
      <c r="L40" s="81">
        <v>20</v>
      </c>
      <c r="M40" s="81">
        <v>20</v>
      </c>
      <c r="N40" s="81"/>
      <c r="O40" s="11">
        <f t="shared" si="9"/>
        <v>240</v>
      </c>
      <c r="P40" s="11">
        <f>O40*(1+Assumptions!J19)</f>
        <v>252</v>
      </c>
      <c r="Q40" s="11">
        <f>P40*(1+Assumptions!K19)</f>
        <v>262.08</v>
      </c>
      <c r="R40" s="11">
        <f>Q40*(1+Assumptions!L19)</f>
        <v>269.94239999999996</v>
      </c>
      <c r="S40" s="11">
        <f>R40*(1+Assumptions!M19)</f>
        <v>275.34124799999995</v>
      </c>
      <c r="T40" s="11"/>
      <c r="U40" s="59">
        <f>O40/Revenue!O$8</f>
        <v>1.5831865587461163E-3</v>
      </c>
      <c r="V40" s="59">
        <f>P40/Revenue!P$8</f>
        <v>1.1873899190595872E-3</v>
      </c>
      <c r="W40" s="59">
        <f>Q40/Revenue!Q$8</f>
        <v>9.4991193524766968E-4</v>
      </c>
      <c r="X40" s="59">
        <f>R40/Revenue!R$8</f>
        <v>8.8946299391372686E-4</v>
      </c>
      <c r="Y40" s="59">
        <f>S40/Revenue!S$8</f>
        <v>8.6404976551619197E-4</v>
      </c>
      <c r="Z40" s="11"/>
      <c r="AA40" s="11"/>
      <c r="AB40" s="11"/>
      <c r="AC40" s="11"/>
    </row>
    <row r="41" spans="1:29" x14ac:dyDescent="0.25">
      <c r="A41" s="2" t="s">
        <v>60</v>
      </c>
      <c r="B41" s="81">
        <v>75</v>
      </c>
      <c r="C41" s="81">
        <v>75</v>
      </c>
      <c r="D41" s="81">
        <v>75</v>
      </c>
      <c r="E41" s="81">
        <v>75</v>
      </c>
      <c r="F41" s="81">
        <v>75</v>
      </c>
      <c r="G41" s="81">
        <v>75</v>
      </c>
      <c r="H41" s="81">
        <v>75</v>
      </c>
      <c r="I41" s="81">
        <v>75</v>
      </c>
      <c r="J41" s="81">
        <v>75</v>
      </c>
      <c r="K41" s="81">
        <v>75</v>
      </c>
      <c r="L41" s="81">
        <v>75</v>
      </c>
      <c r="M41" s="81">
        <v>75</v>
      </c>
      <c r="N41" s="81"/>
      <c r="O41" s="11">
        <f t="shared" si="9"/>
        <v>900</v>
      </c>
      <c r="P41" s="11">
        <f>O41*(1+Assumptions!J21)</f>
        <v>945</v>
      </c>
      <c r="Q41" s="11">
        <f>P41*(1+Assumptions!K21)</f>
        <v>982.80000000000007</v>
      </c>
      <c r="R41" s="11">
        <f>Q41*(1+Assumptions!L21)</f>
        <v>1012.2840000000001</v>
      </c>
      <c r="S41" s="11">
        <f>R41*(1+Assumptions!M21)</f>
        <v>1032.5296800000001</v>
      </c>
      <c r="T41" s="11"/>
      <c r="U41" s="59">
        <f>O41/Revenue!O$8</f>
        <v>5.9369495952979363E-3</v>
      </c>
      <c r="V41" s="59">
        <f>P41/Revenue!P$8</f>
        <v>4.4527121964734514E-3</v>
      </c>
      <c r="W41" s="59">
        <f>Q41/Revenue!Q$8</f>
        <v>3.5621697571787615E-3</v>
      </c>
      <c r="X41" s="59">
        <f>R41/Revenue!R$8</f>
        <v>3.3354862271764768E-3</v>
      </c>
      <c r="Y41" s="59">
        <f>S41/Revenue!S$8</f>
        <v>3.2401866206857206E-3</v>
      </c>
      <c r="Z41" s="11"/>
      <c r="AA41" s="11"/>
      <c r="AB41" s="11"/>
      <c r="AC41" s="11"/>
    </row>
    <row r="42" spans="1:29" x14ac:dyDescent="0.25">
      <c r="A42" s="2" t="s">
        <v>62</v>
      </c>
      <c r="B42" s="81">
        <v>100</v>
      </c>
      <c r="C42" s="81">
        <v>100</v>
      </c>
      <c r="D42" s="81">
        <v>100</v>
      </c>
      <c r="E42" s="81">
        <v>100</v>
      </c>
      <c r="F42" s="81">
        <v>100</v>
      </c>
      <c r="G42" s="81">
        <v>100</v>
      </c>
      <c r="H42" s="81">
        <v>100</v>
      </c>
      <c r="I42" s="81">
        <v>100</v>
      </c>
      <c r="J42" s="81">
        <v>100</v>
      </c>
      <c r="K42" s="81">
        <v>100</v>
      </c>
      <c r="L42" s="81">
        <v>100</v>
      </c>
      <c r="M42" s="81">
        <v>100</v>
      </c>
      <c r="N42" s="81"/>
      <c r="O42" s="11">
        <f t="shared" si="9"/>
        <v>1200</v>
      </c>
      <c r="P42" s="11">
        <f>O42*(1+Assumptions!J22)</f>
        <v>1260</v>
      </c>
      <c r="Q42" s="11">
        <f>P42*(1+Assumptions!K22)</f>
        <v>1310.4000000000001</v>
      </c>
      <c r="R42" s="11">
        <f>Q42*(1+Assumptions!L22)</f>
        <v>1349.7120000000002</v>
      </c>
      <c r="S42" s="11">
        <f>R42*(1+Assumptions!M22)</f>
        <v>1376.7062400000002</v>
      </c>
      <c r="T42" s="11"/>
      <c r="U42" s="59">
        <f>O42/Revenue!O$8</f>
        <v>7.9159327937305818E-3</v>
      </c>
      <c r="V42" s="59">
        <f>P42/Revenue!P$8</f>
        <v>5.9369495952979355E-3</v>
      </c>
      <c r="W42" s="59">
        <f>Q42/Revenue!Q$8</f>
        <v>4.7495596762383487E-3</v>
      </c>
      <c r="X42" s="59">
        <f>R42/Revenue!R$8</f>
        <v>4.4473149695686354E-3</v>
      </c>
      <c r="Y42" s="59">
        <f>S42/Revenue!S$8</f>
        <v>4.3202488275809617E-3</v>
      </c>
      <c r="Z42" s="11"/>
      <c r="AA42" s="11"/>
      <c r="AB42" s="11"/>
      <c r="AC42" s="11"/>
    </row>
    <row r="43" spans="1:29" s="3" customFormat="1" x14ac:dyDescent="0.25">
      <c r="A43" s="3" t="s">
        <v>63</v>
      </c>
      <c r="B43" s="82">
        <v>100</v>
      </c>
      <c r="C43" s="82">
        <v>100</v>
      </c>
      <c r="D43" s="82">
        <v>100</v>
      </c>
      <c r="E43" s="82">
        <v>100</v>
      </c>
      <c r="F43" s="82">
        <v>100</v>
      </c>
      <c r="G43" s="82">
        <v>100</v>
      </c>
      <c r="H43" s="82">
        <v>100</v>
      </c>
      <c r="I43" s="82">
        <v>100</v>
      </c>
      <c r="J43" s="82">
        <v>100</v>
      </c>
      <c r="K43" s="82">
        <v>100</v>
      </c>
      <c r="L43" s="82">
        <v>100</v>
      </c>
      <c r="M43" s="82">
        <v>100</v>
      </c>
      <c r="N43" s="82"/>
      <c r="O43" s="9">
        <f t="shared" si="9"/>
        <v>1200</v>
      </c>
      <c r="P43" s="9">
        <f>O43*(1+Assumptions!J23)</f>
        <v>1260</v>
      </c>
      <c r="Q43" s="9">
        <f>P43*(1+Assumptions!K23)</f>
        <v>1310.4000000000001</v>
      </c>
      <c r="R43" s="9">
        <f>Q43*(1+Assumptions!L23)</f>
        <v>1349.7120000000002</v>
      </c>
      <c r="S43" s="9">
        <f>R43*(1+Assumptions!M23)</f>
        <v>1376.7062400000002</v>
      </c>
      <c r="T43" s="9"/>
      <c r="U43" s="88">
        <f>O43/Revenue!O$8</f>
        <v>7.9159327937305818E-3</v>
      </c>
      <c r="V43" s="88">
        <f>P43/Revenue!P$8</f>
        <v>5.9369495952979355E-3</v>
      </c>
      <c r="W43" s="88">
        <f>Q43/Revenue!Q$8</f>
        <v>4.7495596762383487E-3</v>
      </c>
      <c r="X43" s="88">
        <f>R43/Revenue!R$8</f>
        <v>4.4473149695686354E-3</v>
      </c>
      <c r="Y43" s="88">
        <f>S43/Revenue!S$8</f>
        <v>4.3202488275809617E-3</v>
      </c>
      <c r="Z43" s="9"/>
      <c r="AA43" s="9"/>
      <c r="AB43" s="9"/>
      <c r="AC43" s="9"/>
    </row>
    <row r="44" spans="1:29" x14ac:dyDescent="0.25">
      <c r="A44" s="2" t="s">
        <v>87</v>
      </c>
      <c r="B44" s="81">
        <f t="shared" ref="B44:M44" si="10">SUM(B32:B43)</f>
        <v>3335</v>
      </c>
      <c r="C44" s="81">
        <f t="shared" si="10"/>
        <v>3335</v>
      </c>
      <c r="D44" s="81">
        <f t="shared" si="10"/>
        <v>3335</v>
      </c>
      <c r="E44" s="81">
        <f t="shared" si="10"/>
        <v>3335</v>
      </c>
      <c r="F44" s="81">
        <f t="shared" si="10"/>
        <v>3335</v>
      </c>
      <c r="G44" s="81">
        <f t="shared" si="10"/>
        <v>3335</v>
      </c>
      <c r="H44" s="81">
        <f t="shared" si="10"/>
        <v>3335</v>
      </c>
      <c r="I44" s="81">
        <f t="shared" si="10"/>
        <v>3335</v>
      </c>
      <c r="J44" s="81">
        <f t="shared" si="10"/>
        <v>3335</v>
      </c>
      <c r="K44" s="81">
        <f t="shared" si="10"/>
        <v>3335</v>
      </c>
      <c r="L44" s="81">
        <f t="shared" si="10"/>
        <v>3335</v>
      </c>
      <c r="M44" s="81">
        <f t="shared" si="10"/>
        <v>3335</v>
      </c>
      <c r="N44" s="81"/>
      <c r="O44" s="11">
        <f>SUM(O32:O43)</f>
        <v>40020</v>
      </c>
      <c r="P44" s="11">
        <f>SUM(P32:P43)</f>
        <v>40731</v>
      </c>
      <c r="Q44" s="11">
        <f>SUM(Q32:Q43)</f>
        <v>41328.240000000005</v>
      </c>
      <c r="R44" s="11">
        <f>SUM(R32:R43)</f>
        <v>42964.087199999994</v>
      </c>
      <c r="S44" s="11">
        <f>SUM(S32:S43)</f>
        <v>43283.968943999993</v>
      </c>
      <c r="T44" s="11"/>
      <c r="U44" s="59">
        <f>O44/Revenue!O$8</f>
        <v>0.26399635867091487</v>
      </c>
      <c r="V44" s="59">
        <f>P44/Revenue!P$8</f>
        <v>0.19191896346514303</v>
      </c>
      <c r="W44" s="59">
        <f>Q44/Revenue!Q$8</f>
        <v>0.1497946750563956</v>
      </c>
      <c r="X44" s="59">
        <f>R44/Revenue!R$8</f>
        <v>0.1415671107305945</v>
      </c>
      <c r="Y44" s="59">
        <f>S44/Revenue!S$8</f>
        <v>0.13582964226512598</v>
      </c>
      <c r="Z44" s="11"/>
      <c r="AA44" s="11"/>
      <c r="AB44" s="11"/>
      <c r="AC44" s="11"/>
    </row>
    <row r="45" spans="1:29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81"/>
      <c r="O45" s="11"/>
      <c r="P45" s="11"/>
      <c r="Q45" s="11"/>
      <c r="R45" s="11"/>
      <c r="S45" s="11"/>
      <c r="T45" s="11"/>
      <c r="V45" s="59"/>
      <c r="W45" s="59"/>
      <c r="X45" s="59"/>
      <c r="Y45" s="59"/>
      <c r="Z45" s="11"/>
      <c r="AA45" s="11"/>
      <c r="AB45" s="11"/>
      <c r="AC45" s="11"/>
    </row>
    <row r="46" spans="1:29" s="18" customFormat="1" ht="11" thickBot="1" x14ac:dyDescent="0.3">
      <c r="A46" s="18" t="s">
        <v>61</v>
      </c>
      <c r="B46" s="74">
        <f t="shared" ref="B46:M46" si="11">SUM(B18,B29,B44)</f>
        <v>10472.34</v>
      </c>
      <c r="C46" s="74">
        <f t="shared" si="11"/>
        <v>10723.5</v>
      </c>
      <c r="D46" s="74">
        <f t="shared" si="11"/>
        <v>10849.08</v>
      </c>
      <c r="E46" s="74">
        <f t="shared" si="11"/>
        <v>10911.87</v>
      </c>
      <c r="F46" s="74">
        <f t="shared" si="11"/>
        <v>10974.66</v>
      </c>
      <c r="G46" s="74">
        <f t="shared" si="11"/>
        <v>11100.240000000002</v>
      </c>
      <c r="H46" s="74">
        <f t="shared" si="11"/>
        <v>10974.66</v>
      </c>
      <c r="I46" s="74">
        <f t="shared" si="11"/>
        <v>11100.240000000002</v>
      </c>
      <c r="J46" s="74">
        <f t="shared" si="11"/>
        <v>11100.240000000002</v>
      </c>
      <c r="K46" s="74">
        <f t="shared" si="11"/>
        <v>11100.240000000002</v>
      </c>
      <c r="L46" s="74">
        <f t="shared" si="11"/>
        <v>11225.82</v>
      </c>
      <c r="M46" s="74">
        <f t="shared" si="11"/>
        <v>11225.82</v>
      </c>
      <c r="N46" s="90"/>
      <c r="O46" s="74">
        <f>SUM(O18,O29,O44)</f>
        <v>131758.71</v>
      </c>
      <c r="P46" s="74">
        <f>SUM(P18,P29,P44)</f>
        <v>169421.9026</v>
      </c>
      <c r="Q46" s="74">
        <f>SUM(Q18,Q29,Q44)</f>
        <v>221854.69338000001</v>
      </c>
      <c r="R46" s="74">
        <f>SUM(R18,R29,R44)</f>
        <v>226417.42591799999</v>
      </c>
      <c r="S46" s="74">
        <f>SUM(S18,S29,S44)</f>
        <v>228347.09459790002</v>
      </c>
      <c r="T46" s="74"/>
      <c r="U46" s="91">
        <f>O46/Revenue!O$8</f>
        <v>0.86916091112386451</v>
      </c>
      <c r="V46" s="91">
        <f>P46/Revenue!P$8</f>
        <v>0.79829309212355259</v>
      </c>
      <c r="W46" s="91">
        <f>Q46/Revenue!Q$8</f>
        <v>0.80411485474806998</v>
      </c>
      <c r="X46" s="91">
        <f>R46/Revenue!R$8</f>
        <v>0.74604775511836507</v>
      </c>
      <c r="Y46" s="91">
        <f>S46/Revenue!S$8</f>
        <v>0.71657717460341885</v>
      </c>
      <c r="Z46" s="74"/>
      <c r="AA46" s="74"/>
      <c r="AB46" s="74"/>
      <c r="AC46" s="74"/>
    </row>
    <row r="47" spans="1:29" ht="11" thickTop="1" x14ac:dyDescent="0.25"/>
  </sheetData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796875" defaultRowHeight="10.5" x14ac:dyDescent="0.25"/>
  <cols>
    <col min="1" max="1" width="21.1796875" style="99" bestFit="1" customWidth="1"/>
    <col min="2" max="13" width="6.54296875" style="99" bestFit="1" customWidth="1"/>
    <col min="14" max="14" width="2.26953125" style="33" bestFit="1" customWidth="1"/>
    <col min="15" max="16" width="7.453125" style="99" bestFit="1" customWidth="1"/>
    <col min="17" max="19" width="8.7265625" style="99" bestFit="1" customWidth="1"/>
    <col min="20" max="20" width="2.7265625" style="99" customWidth="1"/>
    <col min="21" max="21" width="6.26953125" style="99" bestFit="1" customWidth="1"/>
    <col min="22" max="25" width="6.54296875" style="99" bestFit="1" customWidth="1"/>
    <col min="26" max="16384" width="9.1796875" style="99"/>
  </cols>
  <sheetData>
    <row r="1" spans="1:25" s="98" customFormat="1" x14ac:dyDescent="0.25">
      <c r="B1" s="98" t="s">
        <v>4</v>
      </c>
      <c r="C1" s="98" t="s">
        <v>5</v>
      </c>
      <c r="D1" s="98" t="s">
        <v>6</v>
      </c>
      <c r="E1" s="98" t="s">
        <v>7</v>
      </c>
      <c r="F1" s="98" t="s">
        <v>8</v>
      </c>
      <c r="G1" s="98" t="s">
        <v>9</v>
      </c>
      <c r="H1" s="98" t="s">
        <v>10</v>
      </c>
      <c r="I1" s="98" t="s">
        <v>11</v>
      </c>
      <c r="J1" s="98" t="s">
        <v>12</v>
      </c>
      <c r="K1" s="98" t="s">
        <v>13</v>
      </c>
      <c r="L1" s="98" t="s">
        <v>14</v>
      </c>
      <c r="M1" s="98" t="s">
        <v>15</v>
      </c>
      <c r="N1" s="31"/>
      <c r="O1" s="98" t="s">
        <v>23</v>
      </c>
      <c r="P1" s="98" t="s">
        <v>25</v>
      </c>
      <c r="Q1" s="98" t="s">
        <v>27</v>
      </c>
      <c r="R1" s="98" t="s">
        <v>29</v>
      </c>
      <c r="S1" s="98" t="s">
        <v>31</v>
      </c>
      <c r="U1" s="98" t="s">
        <v>88</v>
      </c>
      <c r="V1" s="98" t="s">
        <v>26</v>
      </c>
      <c r="W1" s="98" t="s">
        <v>28</v>
      </c>
      <c r="X1" s="98" t="s">
        <v>30</v>
      </c>
      <c r="Y1" s="98" t="s">
        <v>32</v>
      </c>
    </row>
    <row r="2" spans="1:25" x14ac:dyDescent="0.25">
      <c r="A2" s="99" t="s">
        <v>98</v>
      </c>
    </row>
    <row r="3" spans="1:25" x14ac:dyDescent="0.25">
      <c r="A3" s="100" t="s">
        <v>16</v>
      </c>
      <c r="B3" s="99">
        <f>Volume!B3</f>
        <v>6</v>
      </c>
      <c r="C3" s="99">
        <f>Volume!C3</f>
        <v>10</v>
      </c>
      <c r="D3" s="99">
        <f>Volume!D3</f>
        <v>12</v>
      </c>
      <c r="E3" s="99">
        <f>Volume!E3</f>
        <v>13</v>
      </c>
      <c r="F3" s="99">
        <f>Volume!F3</f>
        <v>14</v>
      </c>
      <c r="G3" s="99">
        <f>Volume!G3</f>
        <v>16</v>
      </c>
      <c r="H3" s="99">
        <f>Volume!H3</f>
        <v>14</v>
      </c>
      <c r="I3" s="99">
        <f>Volume!I3</f>
        <v>16</v>
      </c>
      <c r="J3" s="99">
        <f>Volume!J3</f>
        <v>16</v>
      </c>
      <c r="K3" s="99">
        <f>Volume!K3</f>
        <v>16</v>
      </c>
      <c r="L3" s="99">
        <f>Volume!L3</f>
        <v>18</v>
      </c>
      <c r="M3" s="99">
        <f>Volume!M3</f>
        <v>18</v>
      </c>
      <c r="O3" s="99">
        <f>Volume!O3</f>
        <v>169</v>
      </c>
      <c r="P3" s="99">
        <f>Volume!P3</f>
        <v>236.6</v>
      </c>
      <c r="Q3" s="99">
        <f>Volume!Q3</f>
        <v>307.58</v>
      </c>
      <c r="R3" s="99">
        <f>Volume!R3</f>
        <v>338.33800000000002</v>
      </c>
      <c r="S3" s="99">
        <f>Volume!S3</f>
        <v>355.25490000000002</v>
      </c>
    </row>
    <row r="4" spans="1:25" s="102" customFormat="1" x14ac:dyDescent="0.25">
      <c r="A4" s="101" t="s">
        <v>176</v>
      </c>
      <c r="B4" s="102">
        <f>Volume!B4</f>
        <v>45</v>
      </c>
      <c r="C4" s="102">
        <f>Volume!C4</f>
        <v>75</v>
      </c>
      <c r="D4" s="102">
        <f>Volume!D4</f>
        <v>90</v>
      </c>
      <c r="E4" s="102">
        <f>Volume!E4</f>
        <v>97.5</v>
      </c>
      <c r="F4" s="102">
        <f>Volume!F4</f>
        <v>105</v>
      </c>
      <c r="G4" s="102">
        <f>Volume!G4</f>
        <v>120</v>
      </c>
      <c r="H4" s="102">
        <f>Volume!H4</f>
        <v>105</v>
      </c>
      <c r="I4" s="102">
        <f>Volume!I4</f>
        <v>120</v>
      </c>
      <c r="J4" s="102">
        <f>Volume!J4</f>
        <v>120</v>
      </c>
      <c r="K4" s="102">
        <f>Volume!K4</f>
        <v>120</v>
      </c>
      <c r="L4" s="102">
        <f>Volume!L4</f>
        <v>135</v>
      </c>
      <c r="M4" s="102">
        <f>Volume!M4</f>
        <v>135</v>
      </c>
      <c r="N4" s="35"/>
      <c r="O4" s="102">
        <f>Volume!O4</f>
        <v>1267.5</v>
      </c>
      <c r="P4" s="102">
        <f>Volume!P4</f>
        <v>1774.5</v>
      </c>
      <c r="Q4" s="102">
        <f>Volume!Q4</f>
        <v>2306.85</v>
      </c>
      <c r="R4" s="102">
        <f>Volume!R4</f>
        <v>2537.5350000000003</v>
      </c>
      <c r="S4" s="102">
        <f>Volume!S4</f>
        <v>2664.4117500000002</v>
      </c>
    </row>
    <row r="5" spans="1:25" x14ac:dyDescent="0.25">
      <c r="A5" s="99" t="s">
        <v>19</v>
      </c>
      <c r="B5" s="99">
        <f>Volume!B5</f>
        <v>51</v>
      </c>
      <c r="C5" s="99">
        <f>Volume!C5</f>
        <v>85</v>
      </c>
      <c r="D5" s="99">
        <f>Volume!D5</f>
        <v>102</v>
      </c>
      <c r="E5" s="99">
        <f>Volume!E5</f>
        <v>110.5</v>
      </c>
      <c r="F5" s="99">
        <f>Volume!F5</f>
        <v>119</v>
      </c>
      <c r="G5" s="99">
        <f>Volume!G5</f>
        <v>136</v>
      </c>
      <c r="H5" s="99">
        <f>Volume!H5</f>
        <v>119</v>
      </c>
      <c r="I5" s="99">
        <f>Volume!I5</f>
        <v>136</v>
      </c>
      <c r="J5" s="99">
        <f>Volume!J5</f>
        <v>136</v>
      </c>
      <c r="K5" s="99">
        <f>Volume!K5</f>
        <v>136</v>
      </c>
      <c r="L5" s="99">
        <f>Volume!L5</f>
        <v>153</v>
      </c>
      <c r="M5" s="99">
        <f>Volume!M5</f>
        <v>153</v>
      </c>
      <c r="O5" s="99">
        <f>Volume!O5</f>
        <v>1436.5</v>
      </c>
      <c r="P5" s="99">
        <f>Volume!P5</f>
        <v>2011.1</v>
      </c>
      <c r="Q5" s="99">
        <f>Volume!Q5</f>
        <v>2614.4299999999998</v>
      </c>
      <c r="R5" s="99">
        <f>Volume!R5</f>
        <v>2875.8730000000005</v>
      </c>
      <c r="S5" s="99">
        <f>Volume!S5</f>
        <v>3019.6666500000001</v>
      </c>
    </row>
    <row r="7" spans="1:25" x14ac:dyDescent="0.25">
      <c r="A7" s="99" t="s">
        <v>39</v>
      </c>
    </row>
    <row r="8" spans="1:25" x14ac:dyDescent="0.25">
      <c r="A8" s="100" t="s">
        <v>16</v>
      </c>
      <c r="B8" s="99">
        <f>Revenue!B3</f>
        <v>1440</v>
      </c>
      <c r="C8" s="99">
        <f>Revenue!C3</f>
        <v>2400</v>
      </c>
      <c r="D8" s="99">
        <f>Revenue!D3</f>
        <v>2880</v>
      </c>
      <c r="E8" s="99">
        <f>Revenue!E3</f>
        <v>3120</v>
      </c>
      <c r="F8" s="99">
        <f>Revenue!F3</f>
        <v>3360</v>
      </c>
      <c r="G8" s="99">
        <f>Revenue!G3</f>
        <v>3840</v>
      </c>
      <c r="H8" s="99">
        <f>Revenue!H3</f>
        <v>3360</v>
      </c>
      <c r="I8" s="99">
        <f>Revenue!I3</f>
        <v>3840</v>
      </c>
      <c r="J8" s="99">
        <f>Revenue!J3</f>
        <v>3840</v>
      </c>
      <c r="K8" s="99">
        <f>Revenue!K3</f>
        <v>3840</v>
      </c>
      <c r="L8" s="99">
        <f>Revenue!L3</f>
        <v>4320</v>
      </c>
      <c r="M8" s="99">
        <f>Revenue!M3</f>
        <v>4320</v>
      </c>
      <c r="O8" s="99">
        <f>Revenue!O3</f>
        <v>40560</v>
      </c>
      <c r="P8" s="99">
        <f>Revenue!P3</f>
        <v>56784</v>
      </c>
      <c r="Q8" s="99">
        <f>Revenue!Q3</f>
        <v>73819.199999999997</v>
      </c>
      <c r="R8" s="99">
        <f>Revenue!R3</f>
        <v>81201.12000000001</v>
      </c>
      <c r="S8" s="99">
        <f>Revenue!S3</f>
        <v>85261.176000000007</v>
      </c>
      <c r="U8" s="59">
        <f>O8/O$13</f>
        <v>0.26755852842809363</v>
      </c>
      <c r="V8" s="59">
        <f t="shared" ref="V8:Y21" si="0">P8/P$13</f>
        <v>0.26755852842809363</v>
      </c>
      <c r="W8" s="59">
        <f t="shared" si="0"/>
        <v>0.26755852842809363</v>
      </c>
      <c r="X8" s="59">
        <f t="shared" si="0"/>
        <v>0.26755852842809363</v>
      </c>
      <c r="Y8" s="59">
        <f t="shared" si="0"/>
        <v>0.26755852842809369</v>
      </c>
    </row>
    <row r="9" spans="1:25" s="102" customFormat="1" x14ac:dyDescent="0.25">
      <c r="A9" s="101" t="s">
        <v>176</v>
      </c>
      <c r="B9" s="102">
        <f>Revenue!B4</f>
        <v>6840</v>
      </c>
      <c r="C9" s="102">
        <f>Revenue!C4</f>
        <v>11400</v>
      </c>
      <c r="D9" s="102">
        <f>Revenue!D4</f>
        <v>13680</v>
      </c>
      <c r="E9" s="102">
        <f>Revenue!E4</f>
        <v>14820</v>
      </c>
      <c r="F9" s="102">
        <f>Revenue!F4</f>
        <v>15960</v>
      </c>
      <c r="G9" s="102">
        <f>Revenue!G4</f>
        <v>18240</v>
      </c>
      <c r="H9" s="102">
        <f>Revenue!H4</f>
        <v>15960</v>
      </c>
      <c r="I9" s="102">
        <f>Revenue!I4</f>
        <v>18240</v>
      </c>
      <c r="J9" s="102">
        <f>Revenue!J4</f>
        <v>18240</v>
      </c>
      <c r="K9" s="102">
        <f>Revenue!K4</f>
        <v>18240</v>
      </c>
      <c r="L9" s="102">
        <f>Revenue!L4</f>
        <v>20520</v>
      </c>
      <c r="M9" s="102">
        <f>Revenue!M4</f>
        <v>20520</v>
      </c>
      <c r="N9" s="35"/>
      <c r="O9" s="102">
        <f>Revenue!O4</f>
        <v>192660</v>
      </c>
      <c r="P9" s="102">
        <f>Revenue!P4</f>
        <v>269724</v>
      </c>
      <c r="Q9" s="102">
        <f>Revenue!Q4</f>
        <v>350641.2</v>
      </c>
      <c r="R9" s="102">
        <f>Revenue!R4</f>
        <v>385705.32000000007</v>
      </c>
      <c r="S9" s="102">
        <f>Revenue!S4</f>
        <v>404990.58600000001</v>
      </c>
      <c r="U9" s="88">
        <f t="shared" ref="U9:U54" si="1">O9/O$13</f>
        <v>1.2709030100334449</v>
      </c>
      <c r="V9" s="88">
        <f t="shared" si="0"/>
        <v>1.2709030100334446</v>
      </c>
      <c r="W9" s="88">
        <f t="shared" si="0"/>
        <v>1.2709030100334449</v>
      </c>
      <c r="X9" s="88">
        <f t="shared" si="0"/>
        <v>1.2709030100334449</v>
      </c>
      <c r="Y9" s="88">
        <f t="shared" si="0"/>
        <v>1.2709030100334449</v>
      </c>
    </row>
    <row r="10" spans="1:25" s="103" customFormat="1" x14ac:dyDescent="0.25">
      <c r="A10" s="103" t="s">
        <v>17</v>
      </c>
      <c r="B10" s="103">
        <f>Revenue!B5</f>
        <v>8280</v>
      </c>
      <c r="C10" s="103">
        <f>Revenue!C5</f>
        <v>13800</v>
      </c>
      <c r="D10" s="103">
        <f>Revenue!D5</f>
        <v>16560</v>
      </c>
      <c r="E10" s="103">
        <f>Revenue!E5</f>
        <v>17940</v>
      </c>
      <c r="F10" s="103">
        <f>Revenue!F5</f>
        <v>19320</v>
      </c>
      <c r="G10" s="103">
        <f>Revenue!G5</f>
        <v>22080</v>
      </c>
      <c r="H10" s="103">
        <f>Revenue!H5</f>
        <v>19320</v>
      </c>
      <c r="I10" s="103">
        <f>Revenue!I5</f>
        <v>22080</v>
      </c>
      <c r="J10" s="103">
        <f>Revenue!J5</f>
        <v>22080</v>
      </c>
      <c r="K10" s="103">
        <f>Revenue!K5</f>
        <v>22080</v>
      </c>
      <c r="L10" s="103">
        <f>Revenue!L5</f>
        <v>24840</v>
      </c>
      <c r="M10" s="103">
        <f>Revenue!M5</f>
        <v>24840</v>
      </c>
      <c r="N10" s="37"/>
      <c r="O10" s="103">
        <f>Revenue!O5</f>
        <v>233220</v>
      </c>
      <c r="P10" s="103">
        <f>Revenue!P5</f>
        <v>326508</v>
      </c>
      <c r="Q10" s="103">
        <f>Revenue!Q5</f>
        <v>424460.4</v>
      </c>
      <c r="R10" s="103">
        <f>Revenue!R5</f>
        <v>466906.44000000006</v>
      </c>
      <c r="S10" s="103">
        <f>Revenue!S5</f>
        <v>490251.76199999999</v>
      </c>
      <c r="U10" s="109">
        <f t="shared" si="1"/>
        <v>1.5384615384615385</v>
      </c>
      <c r="V10" s="109">
        <f t="shared" si="0"/>
        <v>1.5384615384615383</v>
      </c>
      <c r="W10" s="109">
        <f t="shared" si="0"/>
        <v>1.5384615384615385</v>
      </c>
      <c r="X10" s="109">
        <f t="shared" si="0"/>
        <v>1.5384615384615383</v>
      </c>
      <c r="Y10" s="109">
        <f t="shared" si="0"/>
        <v>1.5384615384615385</v>
      </c>
    </row>
    <row r="11" spans="1:25" x14ac:dyDescent="0.25">
      <c r="A11" s="100" t="s">
        <v>99</v>
      </c>
      <c r="B11" s="99">
        <f>Revenue!B6</f>
        <v>-2815.2000000000003</v>
      </c>
      <c r="C11" s="99">
        <f>Revenue!C6</f>
        <v>-4692</v>
      </c>
      <c r="D11" s="99">
        <f>Revenue!D6</f>
        <v>-5630.4000000000005</v>
      </c>
      <c r="E11" s="99">
        <f>Revenue!E6</f>
        <v>-6099.6</v>
      </c>
      <c r="F11" s="99">
        <f>Revenue!F6</f>
        <v>-6568.8</v>
      </c>
      <c r="G11" s="99">
        <f>Revenue!G6</f>
        <v>-7507.2000000000007</v>
      </c>
      <c r="H11" s="99">
        <f>Revenue!H6</f>
        <v>-6568.8</v>
      </c>
      <c r="I11" s="99">
        <f>Revenue!I6</f>
        <v>-7507.2000000000007</v>
      </c>
      <c r="J11" s="99">
        <f>Revenue!J6</f>
        <v>-7507.2000000000007</v>
      </c>
      <c r="K11" s="99">
        <f>Revenue!K6</f>
        <v>-7507.2000000000007</v>
      </c>
      <c r="L11" s="99">
        <f>Revenue!L6</f>
        <v>-8445.6</v>
      </c>
      <c r="M11" s="99">
        <f>Revenue!M6</f>
        <v>-8445.6</v>
      </c>
      <c r="O11" s="99">
        <f>Revenue!O6</f>
        <v>-79294.8</v>
      </c>
      <c r="P11" s="99">
        <f>Revenue!P6</f>
        <v>-111012.72</v>
      </c>
      <c r="Q11" s="99">
        <f>Revenue!Q6</f>
        <v>-144316.53600000002</v>
      </c>
      <c r="R11" s="99">
        <f>Revenue!R6</f>
        <v>-158748.18960000004</v>
      </c>
      <c r="S11" s="99">
        <f>Revenue!S6</f>
        <v>-166685.59908000001</v>
      </c>
      <c r="U11" s="59">
        <f t="shared" si="1"/>
        <v>-0.52307692307692311</v>
      </c>
      <c r="V11" s="59">
        <f t="shared" si="0"/>
        <v>-0.52307692307692311</v>
      </c>
      <c r="W11" s="59">
        <f t="shared" si="0"/>
        <v>-0.52307692307692311</v>
      </c>
      <c r="X11" s="59">
        <f t="shared" si="0"/>
        <v>-0.52307692307692311</v>
      </c>
      <c r="Y11" s="59">
        <f t="shared" si="0"/>
        <v>-0.52307692307692322</v>
      </c>
    </row>
    <row r="12" spans="1:25" x14ac:dyDescent="0.25">
      <c r="A12" s="100" t="s">
        <v>100</v>
      </c>
      <c r="B12" s="99">
        <f>Revenue!B7</f>
        <v>-82.8</v>
      </c>
      <c r="C12" s="99">
        <f>Revenue!C7</f>
        <v>-138</v>
      </c>
      <c r="D12" s="99">
        <f>Revenue!D7</f>
        <v>-165.6</v>
      </c>
      <c r="E12" s="99">
        <f>Revenue!E7</f>
        <v>-179.4</v>
      </c>
      <c r="F12" s="99">
        <f>Revenue!F7</f>
        <v>-193.20000000000002</v>
      </c>
      <c r="G12" s="99">
        <f>Revenue!G7</f>
        <v>-220.8</v>
      </c>
      <c r="H12" s="99">
        <f>Revenue!H7</f>
        <v>-193.20000000000002</v>
      </c>
      <c r="I12" s="99">
        <f>Revenue!I7</f>
        <v>-220.8</v>
      </c>
      <c r="J12" s="99">
        <f>Revenue!J7</f>
        <v>-220.8</v>
      </c>
      <c r="K12" s="99">
        <f>Revenue!K7</f>
        <v>-220.8</v>
      </c>
      <c r="L12" s="99">
        <f>Revenue!L7</f>
        <v>-248.4</v>
      </c>
      <c r="M12" s="99">
        <f>Revenue!M7</f>
        <v>-248.4</v>
      </c>
      <c r="O12" s="99">
        <f>Revenue!O7</f>
        <v>-2332.2000000000003</v>
      </c>
      <c r="P12" s="99">
        <f>Revenue!P7</f>
        <v>-3265.08</v>
      </c>
      <c r="Q12" s="99">
        <f>Revenue!Q7</f>
        <v>-4244.6040000000003</v>
      </c>
      <c r="R12" s="99">
        <f>Revenue!R7</f>
        <v>-4669.0644000000011</v>
      </c>
      <c r="S12" s="99">
        <f>Revenue!S7</f>
        <v>-4902.5176199999996</v>
      </c>
      <c r="U12" s="59">
        <f t="shared" si="1"/>
        <v>-1.5384615384615387E-2</v>
      </c>
      <c r="V12" s="59">
        <f t="shared" si="0"/>
        <v>-1.5384615384615384E-2</v>
      </c>
      <c r="W12" s="59">
        <f t="shared" si="0"/>
        <v>-1.5384615384615385E-2</v>
      </c>
      <c r="X12" s="59">
        <f t="shared" si="0"/>
        <v>-1.5384615384615385E-2</v>
      </c>
      <c r="Y12" s="59">
        <f t="shared" si="0"/>
        <v>-1.5384615384615385E-2</v>
      </c>
    </row>
    <row r="13" spans="1:25" s="104" customFormat="1" ht="11" thickBot="1" x14ac:dyDescent="0.3">
      <c r="A13" s="104" t="s">
        <v>0</v>
      </c>
      <c r="B13" s="104">
        <f>Revenue!B8</f>
        <v>5381.9999999999991</v>
      </c>
      <c r="C13" s="104">
        <f>Revenue!C8</f>
        <v>8970</v>
      </c>
      <c r="D13" s="104">
        <f>Revenue!D8</f>
        <v>10763.999999999998</v>
      </c>
      <c r="E13" s="104">
        <f>Revenue!E8</f>
        <v>11661</v>
      </c>
      <c r="F13" s="104">
        <f>Revenue!F8</f>
        <v>12558</v>
      </c>
      <c r="G13" s="104">
        <f>Revenue!G8</f>
        <v>14352</v>
      </c>
      <c r="H13" s="104">
        <f>Revenue!H8</f>
        <v>12558</v>
      </c>
      <c r="I13" s="104">
        <f>Revenue!I8</f>
        <v>14352</v>
      </c>
      <c r="J13" s="104">
        <f>Revenue!J8</f>
        <v>14352</v>
      </c>
      <c r="K13" s="104">
        <f>Revenue!K8</f>
        <v>14352</v>
      </c>
      <c r="L13" s="104">
        <f>Revenue!L8</f>
        <v>16146.000000000002</v>
      </c>
      <c r="M13" s="104">
        <f>Revenue!M8</f>
        <v>16146.000000000002</v>
      </c>
      <c r="N13" s="49"/>
      <c r="O13" s="104">
        <f>Revenue!O8</f>
        <v>151593</v>
      </c>
      <c r="P13" s="104">
        <f>Revenue!P8</f>
        <v>212230.2</v>
      </c>
      <c r="Q13" s="104">
        <f>Revenue!Q8</f>
        <v>275899.26</v>
      </c>
      <c r="R13" s="104">
        <f>Revenue!R8</f>
        <v>303489.18600000005</v>
      </c>
      <c r="S13" s="104">
        <f>Revenue!S8</f>
        <v>318663.64529999997</v>
      </c>
      <c r="U13" s="91">
        <f t="shared" si="1"/>
        <v>1</v>
      </c>
      <c r="V13" s="91">
        <f t="shared" si="0"/>
        <v>1</v>
      </c>
      <c r="W13" s="91">
        <f t="shared" si="0"/>
        <v>1</v>
      </c>
      <c r="X13" s="91">
        <f t="shared" si="0"/>
        <v>1</v>
      </c>
      <c r="Y13" s="91">
        <f t="shared" si="0"/>
        <v>1</v>
      </c>
    </row>
    <row r="14" spans="1:25" ht="11" thickTop="1" x14ac:dyDescent="0.25">
      <c r="A14" s="99" t="s">
        <v>18</v>
      </c>
      <c r="B14" s="99">
        <f>Revenue!B9</f>
        <v>0</v>
      </c>
      <c r="C14" s="99">
        <f>Revenue!C9</f>
        <v>0</v>
      </c>
      <c r="D14" s="99">
        <f>Revenue!D9</f>
        <v>5381.9999999999991</v>
      </c>
      <c r="E14" s="99">
        <f>Revenue!E9</f>
        <v>8970</v>
      </c>
      <c r="F14" s="99">
        <f>Revenue!F9</f>
        <v>10763.999999999998</v>
      </c>
      <c r="G14" s="99">
        <f>Revenue!G9</f>
        <v>11661</v>
      </c>
      <c r="H14" s="99">
        <f>Revenue!H9</f>
        <v>12558</v>
      </c>
      <c r="I14" s="99">
        <f>Revenue!I9</f>
        <v>14352</v>
      </c>
      <c r="J14" s="99">
        <f>Revenue!J9</f>
        <v>12558</v>
      </c>
      <c r="K14" s="99">
        <f>Revenue!K9</f>
        <v>14352</v>
      </c>
      <c r="L14" s="99">
        <f>Revenue!L9</f>
        <v>14352</v>
      </c>
      <c r="M14" s="99">
        <f>Revenue!M9</f>
        <v>14352</v>
      </c>
      <c r="O14" s="99">
        <f>Revenue!O9</f>
        <v>119301</v>
      </c>
      <c r="P14" s="99">
        <f>Revenue!P9</f>
        <v>191007.18000000002</v>
      </c>
      <c r="Q14" s="99">
        <f>Revenue!Q9</f>
        <v>248309.334</v>
      </c>
      <c r="R14" s="99">
        <f>Revenue!R9</f>
        <v>273140.26740000007</v>
      </c>
      <c r="S14" s="99">
        <f>Revenue!S9</f>
        <v>286797.28077000001</v>
      </c>
      <c r="U14" s="59">
        <f t="shared" si="1"/>
        <v>0.78698224852071008</v>
      </c>
      <c r="V14" s="59">
        <f t="shared" si="0"/>
        <v>0.9</v>
      </c>
      <c r="W14" s="59">
        <f t="shared" si="0"/>
        <v>0.9</v>
      </c>
      <c r="X14" s="59">
        <f t="shared" si="0"/>
        <v>0.90000000000000013</v>
      </c>
      <c r="Y14" s="59">
        <f t="shared" si="0"/>
        <v>0.90000000000000013</v>
      </c>
    </row>
    <row r="15" spans="1:25" x14ac:dyDescent="0.25">
      <c r="U15" s="59"/>
      <c r="V15" s="59"/>
      <c r="W15" s="59"/>
      <c r="X15" s="59"/>
      <c r="Y15" s="59"/>
    </row>
    <row r="16" spans="1:25" x14ac:dyDescent="0.25">
      <c r="A16" s="99" t="s">
        <v>54</v>
      </c>
      <c r="U16" s="59"/>
      <c r="V16" s="59"/>
      <c r="W16" s="59"/>
      <c r="X16" s="59"/>
      <c r="Y16" s="59"/>
    </row>
    <row r="17" spans="1:25" x14ac:dyDescent="0.25">
      <c r="A17" s="100" t="s">
        <v>101</v>
      </c>
      <c r="U17" s="59"/>
      <c r="V17" s="59"/>
      <c r="W17" s="59"/>
      <c r="X17" s="59"/>
      <c r="Y17" s="59"/>
    </row>
    <row r="18" spans="1:25" x14ac:dyDescent="0.25">
      <c r="A18" s="105" t="s">
        <v>22</v>
      </c>
      <c r="B18" s="99">
        <f>Expenses!B15</f>
        <v>5980</v>
      </c>
      <c r="C18" s="99">
        <f>Expenses!C15</f>
        <v>5980</v>
      </c>
      <c r="D18" s="99">
        <f>Expenses!D15</f>
        <v>5980</v>
      </c>
      <c r="E18" s="99">
        <f>Expenses!E15</f>
        <v>5980</v>
      </c>
      <c r="F18" s="99">
        <f>Expenses!F15</f>
        <v>5980</v>
      </c>
      <c r="G18" s="99">
        <f>Expenses!G15</f>
        <v>5980</v>
      </c>
      <c r="H18" s="99">
        <f>Expenses!H15</f>
        <v>5980</v>
      </c>
      <c r="I18" s="99">
        <f>Expenses!I15</f>
        <v>5980</v>
      </c>
      <c r="J18" s="99">
        <f>Expenses!J15</f>
        <v>5980</v>
      </c>
      <c r="K18" s="99">
        <f>Expenses!K15</f>
        <v>5980</v>
      </c>
      <c r="L18" s="99">
        <f>Expenses!L15</f>
        <v>5980</v>
      </c>
      <c r="M18" s="99">
        <f>Expenses!M15</f>
        <v>5980</v>
      </c>
      <c r="O18" s="99">
        <f>Expenses!O15</f>
        <v>71760</v>
      </c>
      <c r="P18" s="99">
        <f>Expenses!P15</f>
        <v>101920</v>
      </c>
      <c r="Q18" s="99">
        <f>Expenses!Q15</f>
        <v>133120</v>
      </c>
      <c r="R18" s="99">
        <f>Expenses!R15</f>
        <v>133120</v>
      </c>
      <c r="S18" s="99">
        <f>Expenses!S15</f>
        <v>133120</v>
      </c>
      <c r="U18" s="59">
        <f t="shared" si="1"/>
        <v>0.47337278106508873</v>
      </c>
      <c r="V18" s="59">
        <f t="shared" si="0"/>
        <v>0.48023325615298856</v>
      </c>
      <c r="W18" s="59">
        <f t="shared" si="0"/>
        <v>0.48249495123691161</v>
      </c>
      <c r="X18" s="59">
        <f t="shared" si="0"/>
        <v>0.43863177385173779</v>
      </c>
      <c r="Y18" s="59">
        <f t="shared" si="0"/>
        <v>0.41774454652546461</v>
      </c>
    </row>
    <row r="19" spans="1:25" x14ac:dyDescent="0.25">
      <c r="A19" s="105" t="s">
        <v>66</v>
      </c>
      <c r="B19" s="99">
        <f>Expenses!B16</f>
        <v>145.6</v>
      </c>
      <c r="C19" s="99">
        <f>Expenses!C16</f>
        <v>145.6</v>
      </c>
      <c r="D19" s="99">
        <f>Expenses!D16</f>
        <v>145.6</v>
      </c>
      <c r="E19" s="99">
        <f>Expenses!E16</f>
        <v>145.6</v>
      </c>
      <c r="F19" s="99">
        <f>Expenses!F16</f>
        <v>145.6</v>
      </c>
      <c r="G19" s="99">
        <f>Expenses!G16</f>
        <v>145.6</v>
      </c>
      <c r="H19" s="99">
        <f>Expenses!H16</f>
        <v>145.6</v>
      </c>
      <c r="I19" s="99">
        <f>Expenses!I16</f>
        <v>145.6</v>
      </c>
      <c r="J19" s="99">
        <f>Expenses!J16</f>
        <v>145.6</v>
      </c>
      <c r="K19" s="99">
        <f>Expenses!K16</f>
        <v>145.6</v>
      </c>
      <c r="L19" s="99">
        <f>Expenses!L16</f>
        <v>145.6</v>
      </c>
      <c r="M19" s="99">
        <f>Expenses!M16</f>
        <v>145.6</v>
      </c>
      <c r="O19" s="99">
        <f>Expenses!O16</f>
        <v>1747.1999999999996</v>
      </c>
      <c r="P19" s="99">
        <f>Expenses!P16</f>
        <v>3494.4</v>
      </c>
      <c r="Q19" s="99">
        <f>Expenses!Q16</f>
        <v>3494.4</v>
      </c>
      <c r="R19" s="99">
        <f>Expenses!R16</f>
        <v>3494.4</v>
      </c>
      <c r="S19" s="99">
        <f>Expenses!S16</f>
        <v>3494.4</v>
      </c>
      <c r="U19" s="59">
        <f t="shared" si="1"/>
        <v>1.1525598147671724E-2</v>
      </c>
      <c r="V19" s="59">
        <f t="shared" si="0"/>
        <v>1.6465140210959607E-2</v>
      </c>
      <c r="W19" s="59">
        <f t="shared" si="0"/>
        <v>1.2665492469968931E-2</v>
      </c>
      <c r="X19" s="59">
        <f t="shared" si="0"/>
        <v>1.1514084063608116E-2</v>
      </c>
      <c r="Y19" s="59">
        <f t="shared" si="0"/>
        <v>1.0965794346293446E-2</v>
      </c>
    </row>
    <row r="20" spans="1:25" s="102" customFormat="1" x14ac:dyDescent="0.25">
      <c r="A20" s="106" t="s">
        <v>102</v>
      </c>
      <c r="B20" s="102">
        <f>Expenses!B17</f>
        <v>0</v>
      </c>
      <c r="C20" s="102">
        <f>Expenses!C17</f>
        <v>0</v>
      </c>
      <c r="D20" s="102">
        <f>Expenses!D17</f>
        <v>0</v>
      </c>
      <c r="E20" s="102">
        <f>Expenses!E17</f>
        <v>0</v>
      </c>
      <c r="F20" s="102">
        <f>Expenses!F17</f>
        <v>0</v>
      </c>
      <c r="G20" s="102">
        <f>Expenses!G17</f>
        <v>0</v>
      </c>
      <c r="H20" s="102">
        <f>Expenses!H17</f>
        <v>0</v>
      </c>
      <c r="I20" s="102">
        <f>Expenses!I17</f>
        <v>0</v>
      </c>
      <c r="J20" s="102">
        <f>Expenses!J17</f>
        <v>0</v>
      </c>
      <c r="K20" s="102">
        <f>Expenses!K17</f>
        <v>0</v>
      </c>
      <c r="L20" s="102">
        <f>Expenses!L17</f>
        <v>0</v>
      </c>
      <c r="M20" s="102">
        <f>Expenses!M17</f>
        <v>0</v>
      </c>
      <c r="N20" s="35"/>
      <c r="O20" s="102">
        <f>Expenses!O17</f>
        <v>0</v>
      </c>
      <c r="P20" s="102">
        <f>Expenses!P17</f>
        <v>0</v>
      </c>
      <c r="Q20" s="102">
        <f>Expenses!Q17</f>
        <v>14643.2</v>
      </c>
      <c r="R20" s="102">
        <f>Expenses!R17</f>
        <v>14643.2</v>
      </c>
      <c r="S20" s="102">
        <f>Expenses!S17</f>
        <v>14643.2</v>
      </c>
      <c r="U20" s="88">
        <f t="shared" si="1"/>
        <v>0</v>
      </c>
      <c r="V20" s="88">
        <f t="shared" si="0"/>
        <v>0</v>
      </c>
      <c r="W20" s="88">
        <f t="shared" si="0"/>
        <v>5.3074444636060279E-2</v>
      </c>
      <c r="X20" s="88">
        <f t="shared" si="0"/>
        <v>4.8249495123691158E-2</v>
      </c>
      <c r="Y20" s="88">
        <f t="shared" si="0"/>
        <v>4.5951900117801113E-2</v>
      </c>
    </row>
    <row r="21" spans="1:25" x14ac:dyDescent="0.25">
      <c r="A21" s="100" t="s">
        <v>103</v>
      </c>
      <c r="B21" s="99">
        <f>Expenses!B18</f>
        <v>6125.6</v>
      </c>
      <c r="C21" s="99">
        <f>Expenses!C18</f>
        <v>6125.6</v>
      </c>
      <c r="D21" s="99">
        <f>Expenses!D18</f>
        <v>6125.6</v>
      </c>
      <c r="E21" s="99">
        <f>Expenses!E18</f>
        <v>6125.6</v>
      </c>
      <c r="F21" s="99">
        <f>Expenses!F18</f>
        <v>6125.6</v>
      </c>
      <c r="G21" s="99">
        <f>Expenses!G18</f>
        <v>6125.6</v>
      </c>
      <c r="H21" s="99">
        <f>Expenses!H18</f>
        <v>6125.6</v>
      </c>
      <c r="I21" s="99">
        <f>Expenses!I18</f>
        <v>6125.6</v>
      </c>
      <c r="J21" s="99">
        <f>Expenses!J18</f>
        <v>6125.6</v>
      </c>
      <c r="K21" s="99">
        <f>Expenses!K18</f>
        <v>6125.6</v>
      </c>
      <c r="L21" s="99">
        <f>Expenses!L18</f>
        <v>6125.6</v>
      </c>
      <c r="M21" s="99">
        <f>Expenses!M18</f>
        <v>6125.6</v>
      </c>
      <c r="O21" s="99">
        <f>Expenses!O18</f>
        <v>73507.199999999997</v>
      </c>
      <c r="P21" s="99">
        <f>Expenses!P18</f>
        <v>105414.39999999999</v>
      </c>
      <c r="Q21" s="99">
        <f>Expenses!Q18</f>
        <v>151257.60000000001</v>
      </c>
      <c r="R21" s="99">
        <f>Expenses!R18</f>
        <v>151257.60000000001</v>
      </c>
      <c r="S21" s="99">
        <f>Expenses!S18</f>
        <v>151257.60000000001</v>
      </c>
      <c r="U21" s="59">
        <f t="shared" si="1"/>
        <v>0.48489837921276047</v>
      </c>
      <c r="V21" s="59">
        <f t="shared" si="0"/>
        <v>0.49669839636394814</v>
      </c>
      <c r="W21" s="59">
        <f t="shared" si="0"/>
        <v>0.54823488834294087</v>
      </c>
      <c r="X21" s="59">
        <f t="shared" si="0"/>
        <v>0.49839535303903704</v>
      </c>
      <c r="Y21" s="59">
        <f t="shared" si="0"/>
        <v>0.47466224098955923</v>
      </c>
    </row>
    <row r="22" spans="1:25" x14ac:dyDescent="0.25">
      <c r="U22" s="59"/>
      <c r="V22" s="59"/>
      <c r="W22" s="59"/>
      <c r="X22" s="59"/>
      <c r="Y22" s="59"/>
    </row>
    <row r="23" spans="1:25" x14ac:dyDescent="0.25">
      <c r="A23" s="100" t="s">
        <v>84</v>
      </c>
      <c r="U23" s="59"/>
      <c r="V23" s="59"/>
      <c r="W23" s="59"/>
      <c r="X23" s="59"/>
      <c r="Y23" s="59"/>
    </row>
    <row r="24" spans="1:25" x14ac:dyDescent="0.25">
      <c r="A24" s="94" t="s">
        <v>105</v>
      </c>
      <c r="B24" s="99">
        <f>Expenses!B21</f>
        <v>190</v>
      </c>
      <c r="C24" s="99">
        <f>Expenses!C21</f>
        <v>190</v>
      </c>
      <c r="D24" s="99">
        <f>Expenses!D21</f>
        <v>190</v>
      </c>
      <c r="E24" s="99">
        <f>Expenses!E21</f>
        <v>190</v>
      </c>
      <c r="F24" s="99">
        <f>Expenses!F21</f>
        <v>190</v>
      </c>
      <c r="G24" s="99">
        <f>Expenses!G21</f>
        <v>190</v>
      </c>
      <c r="H24" s="99">
        <f>Expenses!H21</f>
        <v>190</v>
      </c>
      <c r="I24" s="99">
        <f>Expenses!I21</f>
        <v>190</v>
      </c>
      <c r="J24" s="99">
        <f>Expenses!J21</f>
        <v>190</v>
      </c>
      <c r="K24" s="99">
        <f>Expenses!K21</f>
        <v>190</v>
      </c>
      <c r="L24" s="99">
        <f>Expenses!L21</f>
        <v>190</v>
      </c>
      <c r="M24" s="99">
        <f>Expenses!M21</f>
        <v>190</v>
      </c>
      <c r="O24" s="99">
        <f>Expenses!O21</f>
        <v>2280</v>
      </c>
      <c r="P24" s="99">
        <f>Expenses!P21</f>
        <v>2964</v>
      </c>
      <c r="Q24" s="99">
        <f>Expenses!Q21</f>
        <v>3556.7999999999997</v>
      </c>
      <c r="R24" s="99">
        <f>Expenses!R21</f>
        <v>3912.48</v>
      </c>
      <c r="S24" s="99">
        <f>Expenses!S21</f>
        <v>4108.1040000000003</v>
      </c>
      <c r="U24" s="59">
        <f t="shared" si="1"/>
        <v>1.5040272308088104E-2</v>
      </c>
      <c r="V24" s="59">
        <f t="shared" ref="V24:V54" si="2">P24/P$13</f>
        <v>1.3965967143224668E-2</v>
      </c>
      <c r="W24" s="59">
        <f t="shared" ref="W24:W54" si="3">Q24/Q$13</f>
        <v>1.2891661978361231E-2</v>
      </c>
      <c r="X24" s="59">
        <f t="shared" ref="X24:X54" si="4">R24/R$13</f>
        <v>1.2891661978361231E-2</v>
      </c>
      <c r="Y24" s="59">
        <f t="shared" ref="Y24:Y54" si="5">S24/S$13</f>
        <v>1.2891661978361234E-2</v>
      </c>
    </row>
    <row r="25" spans="1:25" x14ac:dyDescent="0.25">
      <c r="A25" s="94" t="s">
        <v>106</v>
      </c>
      <c r="B25" s="99">
        <f>Expenses!B22</f>
        <v>160</v>
      </c>
      <c r="C25" s="99">
        <f>Expenses!C22</f>
        <v>160</v>
      </c>
      <c r="D25" s="99">
        <f>Expenses!D22</f>
        <v>160</v>
      </c>
      <c r="E25" s="99">
        <f>Expenses!E22</f>
        <v>160</v>
      </c>
      <c r="F25" s="99">
        <f>Expenses!F22</f>
        <v>160</v>
      </c>
      <c r="G25" s="99">
        <f>Expenses!G22</f>
        <v>160</v>
      </c>
      <c r="H25" s="99">
        <f>Expenses!H22</f>
        <v>160</v>
      </c>
      <c r="I25" s="99">
        <f>Expenses!I22</f>
        <v>160</v>
      </c>
      <c r="J25" s="99">
        <f>Expenses!J22</f>
        <v>160</v>
      </c>
      <c r="K25" s="99">
        <f>Expenses!K22</f>
        <v>160</v>
      </c>
      <c r="L25" s="99">
        <f>Expenses!L22</f>
        <v>160</v>
      </c>
      <c r="M25" s="99">
        <f>Expenses!M22</f>
        <v>160</v>
      </c>
      <c r="O25" s="99">
        <f>Expenses!O22</f>
        <v>1920</v>
      </c>
      <c r="P25" s="99">
        <f>Expenses!P22</f>
        <v>2496</v>
      </c>
      <c r="Q25" s="99">
        <f>Expenses!Q22</f>
        <v>2995.2</v>
      </c>
      <c r="R25" s="99">
        <f>Expenses!R22</f>
        <v>3294.7200000000003</v>
      </c>
      <c r="S25" s="99">
        <f>Expenses!S22</f>
        <v>3459.4560000000006</v>
      </c>
      <c r="U25" s="59">
        <f t="shared" si="1"/>
        <v>1.2665492469968931E-2</v>
      </c>
      <c r="V25" s="59">
        <f t="shared" si="2"/>
        <v>1.176081443639972E-2</v>
      </c>
      <c r="W25" s="59">
        <f t="shared" si="3"/>
        <v>1.0856136402830511E-2</v>
      </c>
      <c r="X25" s="59">
        <f t="shared" si="4"/>
        <v>1.0856136402830511E-2</v>
      </c>
      <c r="Y25" s="59">
        <f t="shared" si="5"/>
        <v>1.0856136402830514E-2</v>
      </c>
    </row>
    <row r="26" spans="1:25" x14ac:dyDescent="0.25">
      <c r="A26" s="94" t="s">
        <v>67</v>
      </c>
      <c r="B26" s="99">
        <f>Expenses!B23</f>
        <v>376.73999999999995</v>
      </c>
      <c r="C26" s="99">
        <f>Expenses!C23</f>
        <v>627.90000000000009</v>
      </c>
      <c r="D26" s="99">
        <f>Expenses!D23</f>
        <v>753.4799999999999</v>
      </c>
      <c r="E26" s="99">
        <f>Expenses!E23</f>
        <v>816.2700000000001</v>
      </c>
      <c r="F26" s="99">
        <f>Expenses!F23</f>
        <v>879.06000000000006</v>
      </c>
      <c r="G26" s="99">
        <f>Expenses!G23</f>
        <v>1004.6400000000001</v>
      </c>
      <c r="H26" s="99">
        <f>Expenses!H23</f>
        <v>879.06000000000006</v>
      </c>
      <c r="I26" s="99">
        <f>Expenses!I23</f>
        <v>1004.6400000000001</v>
      </c>
      <c r="J26" s="99">
        <f>Expenses!J23</f>
        <v>1004.6400000000001</v>
      </c>
      <c r="K26" s="99">
        <f>Expenses!K23</f>
        <v>1004.6400000000001</v>
      </c>
      <c r="L26" s="99">
        <f>Expenses!L23</f>
        <v>1130.2200000000003</v>
      </c>
      <c r="M26" s="99">
        <f>Expenses!M23</f>
        <v>1130.2200000000003</v>
      </c>
      <c r="O26" s="99">
        <f>Expenses!O23</f>
        <v>10611.510000000002</v>
      </c>
      <c r="P26" s="99">
        <f>Expenses!P23</f>
        <v>13370.502600000003</v>
      </c>
      <c r="Q26" s="99">
        <f>Expenses!Q23</f>
        <v>17381.653380000003</v>
      </c>
      <c r="R26" s="99">
        <f>Expenses!R23</f>
        <v>19119.818718000006</v>
      </c>
      <c r="S26" s="99">
        <f>Expenses!S23</f>
        <v>20075.809653900003</v>
      </c>
      <c r="U26" s="59">
        <f t="shared" si="1"/>
        <v>7.0000000000000007E-2</v>
      </c>
      <c r="V26" s="59">
        <f t="shared" si="2"/>
        <v>6.3000000000000014E-2</v>
      </c>
      <c r="W26" s="59">
        <f t="shared" si="3"/>
        <v>6.3000000000000014E-2</v>
      </c>
      <c r="X26" s="59">
        <f t="shared" si="4"/>
        <v>6.3000000000000014E-2</v>
      </c>
      <c r="Y26" s="59">
        <f t="shared" si="5"/>
        <v>6.3000000000000014E-2</v>
      </c>
    </row>
    <row r="27" spans="1:25" x14ac:dyDescent="0.25">
      <c r="A27" s="94" t="s">
        <v>107</v>
      </c>
      <c r="B27" s="99">
        <f>Expenses!B24</f>
        <v>75</v>
      </c>
      <c r="C27" s="99">
        <f>Expenses!C24</f>
        <v>75</v>
      </c>
      <c r="D27" s="99">
        <f>Expenses!D24</f>
        <v>75</v>
      </c>
      <c r="E27" s="99">
        <f>Expenses!E24</f>
        <v>75</v>
      </c>
      <c r="F27" s="99">
        <f>Expenses!F24</f>
        <v>75</v>
      </c>
      <c r="G27" s="99">
        <f>Expenses!G24</f>
        <v>75</v>
      </c>
      <c r="H27" s="99">
        <f>Expenses!H24</f>
        <v>75</v>
      </c>
      <c r="I27" s="99">
        <f>Expenses!I24</f>
        <v>75</v>
      </c>
      <c r="J27" s="99">
        <f>Expenses!J24</f>
        <v>75</v>
      </c>
      <c r="K27" s="99">
        <f>Expenses!K24</f>
        <v>75</v>
      </c>
      <c r="L27" s="99">
        <f>Expenses!L24</f>
        <v>75</v>
      </c>
      <c r="M27" s="99">
        <f>Expenses!M24</f>
        <v>75</v>
      </c>
      <c r="O27" s="99">
        <f>Expenses!O24</f>
        <v>900</v>
      </c>
      <c r="P27" s="99">
        <f>Expenses!P24</f>
        <v>1170</v>
      </c>
      <c r="Q27" s="99">
        <f>Expenses!Q24</f>
        <v>1404</v>
      </c>
      <c r="R27" s="99">
        <f>Expenses!R24</f>
        <v>1544.4</v>
      </c>
      <c r="S27" s="99">
        <f>Expenses!S24</f>
        <v>1621.6200000000001</v>
      </c>
      <c r="U27" s="59">
        <f t="shared" si="1"/>
        <v>5.9369495952979363E-3</v>
      </c>
      <c r="V27" s="59">
        <f t="shared" si="2"/>
        <v>5.5128817670623683E-3</v>
      </c>
      <c r="W27" s="59">
        <f t="shared" si="3"/>
        <v>5.0888139388268021E-3</v>
      </c>
      <c r="X27" s="59">
        <f t="shared" si="4"/>
        <v>5.0888139388268021E-3</v>
      </c>
      <c r="Y27" s="59">
        <f t="shared" si="5"/>
        <v>5.0888139388268029E-3</v>
      </c>
    </row>
    <row r="28" spans="1:25" x14ac:dyDescent="0.25">
      <c r="A28" s="94" t="s">
        <v>108</v>
      </c>
      <c r="B28" s="99">
        <f>Expenses!B25</f>
        <v>45</v>
      </c>
      <c r="C28" s="99">
        <f>Expenses!C25</f>
        <v>45</v>
      </c>
      <c r="D28" s="99">
        <f>Expenses!D25</f>
        <v>45</v>
      </c>
      <c r="E28" s="99">
        <f>Expenses!E25</f>
        <v>45</v>
      </c>
      <c r="F28" s="99">
        <f>Expenses!F25</f>
        <v>45</v>
      </c>
      <c r="G28" s="99">
        <f>Expenses!G25</f>
        <v>45</v>
      </c>
      <c r="H28" s="99">
        <f>Expenses!H25</f>
        <v>45</v>
      </c>
      <c r="I28" s="99">
        <f>Expenses!I25</f>
        <v>45</v>
      </c>
      <c r="J28" s="99">
        <f>Expenses!J25</f>
        <v>45</v>
      </c>
      <c r="K28" s="99">
        <f>Expenses!K25</f>
        <v>45</v>
      </c>
      <c r="L28" s="99">
        <f>Expenses!L25</f>
        <v>45</v>
      </c>
      <c r="M28" s="99">
        <f>Expenses!M25</f>
        <v>45</v>
      </c>
      <c r="O28" s="99">
        <f>Expenses!O25</f>
        <v>540</v>
      </c>
      <c r="P28" s="99">
        <f>Expenses!P25</f>
        <v>702</v>
      </c>
      <c r="Q28" s="99">
        <f>Expenses!Q25</f>
        <v>842.4</v>
      </c>
      <c r="R28" s="99">
        <f>Expenses!R25</f>
        <v>926.6400000000001</v>
      </c>
      <c r="S28" s="99">
        <f>Expenses!S25</f>
        <v>972.97200000000009</v>
      </c>
      <c r="U28" s="59">
        <f t="shared" si="1"/>
        <v>3.5621697571787615E-3</v>
      </c>
      <c r="V28" s="59">
        <f t="shared" si="2"/>
        <v>3.3077290602374211E-3</v>
      </c>
      <c r="W28" s="59">
        <f t="shared" si="3"/>
        <v>3.0532883632960811E-3</v>
      </c>
      <c r="X28" s="59">
        <f t="shared" si="4"/>
        <v>3.0532883632960811E-3</v>
      </c>
      <c r="Y28" s="59">
        <f t="shared" si="5"/>
        <v>3.0532883632960819E-3</v>
      </c>
    </row>
    <row r="29" spans="1:25" x14ac:dyDescent="0.25">
      <c r="A29" s="94" t="s">
        <v>109</v>
      </c>
      <c r="B29" s="99">
        <f>Expenses!B26</f>
        <v>45</v>
      </c>
      <c r="C29" s="99">
        <f>Expenses!C26</f>
        <v>45</v>
      </c>
      <c r="D29" s="99">
        <f>Expenses!D26</f>
        <v>45</v>
      </c>
      <c r="E29" s="99">
        <f>Expenses!E26</f>
        <v>45</v>
      </c>
      <c r="F29" s="99">
        <f>Expenses!F26</f>
        <v>45</v>
      </c>
      <c r="G29" s="99">
        <f>Expenses!G26</f>
        <v>45</v>
      </c>
      <c r="H29" s="99">
        <f>Expenses!H26</f>
        <v>45</v>
      </c>
      <c r="I29" s="99">
        <f>Expenses!I26</f>
        <v>45</v>
      </c>
      <c r="J29" s="99">
        <f>Expenses!J26</f>
        <v>45</v>
      </c>
      <c r="K29" s="99">
        <f>Expenses!K26</f>
        <v>45</v>
      </c>
      <c r="L29" s="99">
        <f>Expenses!L26</f>
        <v>45</v>
      </c>
      <c r="M29" s="99">
        <f>Expenses!M26</f>
        <v>45</v>
      </c>
      <c r="O29" s="99">
        <f>Expenses!O26</f>
        <v>540</v>
      </c>
      <c r="P29" s="99">
        <f>Expenses!P26</f>
        <v>702</v>
      </c>
      <c r="Q29" s="99">
        <f>Expenses!Q26</f>
        <v>842.4</v>
      </c>
      <c r="R29" s="99">
        <f>Expenses!R26</f>
        <v>926.6400000000001</v>
      </c>
      <c r="S29" s="99">
        <f>Expenses!S26</f>
        <v>972.97200000000009</v>
      </c>
      <c r="U29" s="59">
        <f t="shared" si="1"/>
        <v>3.5621697571787615E-3</v>
      </c>
      <c r="V29" s="59">
        <f t="shared" si="2"/>
        <v>3.3077290602374211E-3</v>
      </c>
      <c r="W29" s="59">
        <f t="shared" si="3"/>
        <v>3.0532883632960811E-3</v>
      </c>
      <c r="X29" s="59">
        <f t="shared" si="4"/>
        <v>3.0532883632960811E-3</v>
      </c>
      <c r="Y29" s="59">
        <f t="shared" si="5"/>
        <v>3.0532883632960819E-3</v>
      </c>
    </row>
    <row r="30" spans="1:25" x14ac:dyDescent="0.25">
      <c r="A30" s="94" t="s">
        <v>110</v>
      </c>
      <c r="B30" s="99">
        <f>Expenses!B27</f>
        <v>20</v>
      </c>
      <c r="C30" s="99">
        <f>Expenses!C27</f>
        <v>20</v>
      </c>
      <c r="D30" s="99">
        <f>Expenses!D27</f>
        <v>20</v>
      </c>
      <c r="E30" s="99">
        <f>Expenses!E27</f>
        <v>20</v>
      </c>
      <c r="F30" s="99">
        <f>Expenses!F27</f>
        <v>20</v>
      </c>
      <c r="G30" s="99">
        <f>Expenses!G27</f>
        <v>20</v>
      </c>
      <c r="H30" s="99">
        <f>Expenses!H27</f>
        <v>20</v>
      </c>
      <c r="I30" s="99">
        <f>Expenses!I27</f>
        <v>20</v>
      </c>
      <c r="J30" s="99">
        <f>Expenses!J27</f>
        <v>20</v>
      </c>
      <c r="K30" s="99">
        <f>Expenses!K27</f>
        <v>20</v>
      </c>
      <c r="L30" s="99">
        <f>Expenses!L27</f>
        <v>20</v>
      </c>
      <c r="M30" s="99">
        <f>Expenses!M27</f>
        <v>20</v>
      </c>
      <c r="O30" s="99">
        <f>Expenses!O27</f>
        <v>240</v>
      </c>
      <c r="P30" s="99">
        <f>Expenses!P27</f>
        <v>312</v>
      </c>
      <c r="Q30" s="99">
        <f>Expenses!Q27</f>
        <v>374.4</v>
      </c>
      <c r="R30" s="99">
        <f>Expenses!R27</f>
        <v>411.84000000000003</v>
      </c>
      <c r="S30" s="99">
        <f>Expenses!S27</f>
        <v>432.43200000000007</v>
      </c>
      <c r="U30" s="59">
        <f t="shared" si="1"/>
        <v>1.5831865587461163E-3</v>
      </c>
      <c r="V30" s="59">
        <f t="shared" si="2"/>
        <v>1.470101804549965E-3</v>
      </c>
      <c r="W30" s="59">
        <f t="shared" si="3"/>
        <v>1.3570170503538139E-3</v>
      </c>
      <c r="X30" s="59">
        <f t="shared" si="4"/>
        <v>1.3570170503538139E-3</v>
      </c>
      <c r="Y30" s="59">
        <f t="shared" si="5"/>
        <v>1.3570170503538143E-3</v>
      </c>
    </row>
    <row r="31" spans="1:25" s="102" customFormat="1" x14ac:dyDescent="0.25">
      <c r="A31" s="107" t="s">
        <v>111</v>
      </c>
      <c r="B31" s="102">
        <f>Expenses!B28</f>
        <v>100</v>
      </c>
      <c r="C31" s="102">
        <f>Expenses!C28</f>
        <v>100</v>
      </c>
      <c r="D31" s="102">
        <f>Expenses!D28</f>
        <v>100</v>
      </c>
      <c r="E31" s="102">
        <f>Expenses!E28</f>
        <v>100</v>
      </c>
      <c r="F31" s="102">
        <f>Expenses!F28</f>
        <v>100</v>
      </c>
      <c r="G31" s="102">
        <f>Expenses!G28</f>
        <v>100</v>
      </c>
      <c r="H31" s="102">
        <f>Expenses!H28</f>
        <v>100</v>
      </c>
      <c r="I31" s="102">
        <f>Expenses!I28</f>
        <v>100</v>
      </c>
      <c r="J31" s="102">
        <f>Expenses!J28</f>
        <v>100</v>
      </c>
      <c r="K31" s="102">
        <f>Expenses!K28</f>
        <v>100</v>
      </c>
      <c r="L31" s="102">
        <f>Expenses!L28</f>
        <v>100</v>
      </c>
      <c r="M31" s="102">
        <f>Expenses!M28</f>
        <v>100</v>
      </c>
      <c r="N31" s="35"/>
      <c r="O31" s="102">
        <f>Expenses!O28</f>
        <v>1200</v>
      </c>
      <c r="P31" s="102">
        <f>Expenses!P28</f>
        <v>1560</v>
      </c>
      <c r="Q31" s="102">
        <f>Expenses!Q28</f>
        <v>1872</v>
      </c>
      <c r="R31" s="102">
        <f>Expenses!R28</f>
        <v>2059.2000000000003</v>
      </c>
      <c r="S31" s="102">
        <f>Expenses!S28</f>
        <v>2162.1600000000003</v>
      </c>
      <c r="U31" s="88">
        <f t="shared" si="1"/>
        <v>7.9159327937305818E-3</v>
      </c>
      <c r="V31" s="88">
        <f t="shared" si="2"/>
        <v>7.3505090227498253E-3</v>
      </c>
      <c r="W31" s="88">
        <f t="shared" si="3"/>
        <v>6.7850852517690697E-3</v>
      </c>
      <c r="X31" s="88">
        <f t="shared" si="4"/>
        <v>6.7850852517690697E-3</v>
      </c>
      <c r="Y31" s="88">
        <f t="shared" si="5"/>
        <v>6.7850852517690715E-3</v>
      </c>
    </row>
    <row r="32" spans="1:25" x14ac:dyDescent="0.25">
      <c r="A32" s="92" t="s">
        <v>85</v>
      </c>
      <c r="B32" s="99">
        <f>Expenses!B29</f>
        <v>1011.74</v>
      </c>
      <c r="C32" s="99">
        <f>Expenses!C29</f>
        <v>1262.9000000000001</v>
      </c>
      <c r="D32" s="99">
        <f>Expenses!D29</f>
        <v>1388.48</v>
      </c>
      <c r="E32" s="99">
        <f>Expenses!E29</f>
        <v>1451.27</v>
      </c>
      <c r="F32" s="99">
        <f>Expenses!F29</f>
        <v>1514.06</v>
      </c>
      <c r="G32" s="99">
        <f>Expenses!G29</f>
        <v>1639.64</v>
      </c>
      <c r="H32" s="99">
        <f>Expenses!H29</f>
        <v>1514.06</v>
      </c>
      <c r="I32" s="99">
        <f>Expenses!I29</f>
        <v>1639.64</v>
      </c>
      <c r="J32" s="99">
        <f>Expenses!J29</f>
        <v>1639.64</v>
      </c>
      <c r="K32" s="99">
        <f>Expenses!K29</f>
        <v>1639.64</v>
      </c>
      <c r="L32" s="99">
        <f>Expenses!L29</f>
        <v>1765.2200000000003</v>
      </c>
      <c r="M32" s="99">
        <f>Expenses!M29</f>
        <v>1765.2200000000003</v>
      </c>
      <c r="O32" s="99">
        <f>Expenses!O29</f>
        <v>18231.510000000002</v>
      </c>
      <c r="P32" s="99">
        <f>Expenses!P29</f>
        <v>23276.502600000003</v>
      </c>
      <c r="Q32" s="99">
        <f>Expenses!Q29</f>
        <v>29268.853380000008</v>
      </c>
      <c r="R32" s="99">
        <f>Expenses!R29</f>
        <v>32195.738718000008</v>
      </c>
      <c r="S32" s="99">
        <f>Expenses!S29</f>
        <v>33805.525653900011</v>
      </c>
      <c r="U32" s="59">
        <f t="shared" si="1"/>
        <v>0.12026617324018921</v>
      </c>
      <c r="V32" s="59">
        <f t="shared" si="2"/>
        <v>0.1096757322944614</v>
      </c>
      <c r="W32" s="59">
        <f t="shared" si="3"/>
        <v>0.10608529134873362</v>
      </c>
      <c r="X32" s="59">
        <f t="shared" si="4"/>
        <v>0.1060852913487336</v>
      </c>
      <c r="Y32" s="59">
        <f t="shared" si="5"/>
        <v>0.10608529134873364</v>
      </c>
    </row>
    <row r="33" spans="1:25" x14ac:dyDescent="0.25">
      <c r="U33" s="59"/>
      <c r="V33" s="59"/>
      <c r="W33" s="59"/>
      <c r="X33" s="59"/>
      <c r="Y33" s="59"/>
    </row>
    <row r="34" spans="1:25" x14ac:dyDescent="0.25">
      <c r="A34" s="92" t="s">
        <v>86</v>
      </c>
      <c r="U34" s="59"/>
      <c r="V34" s="59"/>
      <c r="W34" s="59"/>
      <c r="X34" s="59"/>
      <c r="Y34" s="59"/>
    </row>
    <row r="35" spans="1:25" x14ac:dyDescent="0.25">
      <c r="A35" s="94" t="s">
        <v>114</v>
      </c>
      <c r="B35" s="99">
        <f>Expenses!B32</f>
        <v>1950</v>
      </c>
      <c r="C35" s="99">
        <f>Expenses!C32</f>
        <v>1950</v>
      </c>
      <c r="D35" s="99">
        <f>Expenses!D32</f>
        <v>1950</v>
      </c>
      <c r="E35" s="99">
        <f>Expenses!E32</f>
        <v>1950</v>
      </c>
      <c r="F35" s="99">
        <f>Expenses!F32</f>
        <v>1950</v>
      </c>
      <c r="G35" s="99">
        <f>Expenses!G32</f>
        <v>1950</v>
      </c>
      <c r="H35" s="99">
        <f>Expenses!H32</f>
        <v>1950</v>
      </c>
      <c r="I35" s="99">
        <f>Expenses!I32</f>
        <v>1950</v>
      </c>
      <c r="J35" s="99">
        <f>Expenses!J32</f>
        <v>1950</v>
      </c>
      <c r="K35" s="99">
        <f>Expenses!K32</f>
        <v>1950</v>
      </c>
      <c r="L35" s="99">
        <f>Expenses!L32</f>
        <v>1950</v>
      </c>
      <c r="M35" s="99">
        <f>Expenses!M32</f>
        <v>1950</v>
      </c>
      <c r="O35" s="99">
        <f>Expenses!O32</f>
        <v>23400</v>
      </c>
      <c r="P35" s="99">
        <f>Expenses!P32</f>
        <v>23400</v>
      </c>
      <c r="Q35" s="99">
        <f>Expenses!Q32</f>
        <v>23400</v>
      </c>
      <c r="R35" s="99">
        <f>Expenses!R32</f>
        <v>24570</v>
      </c>
      <c r="S35" s="99">
        <f>Expenses!S32</f>
        <v>24570</v>
      </c>
      <c r="U35" s="59">
        <f t="shared" si="1"/>
        <v>0.15436068947774634</v>
      </c>
      <c r="V35" s="59">
        <f t="shared" si="2"/>
        <v>0.11025763534124737</v>
      </c>
      <c r="W35" s="59">
        <f t="shared" si="3"/>
        <v>8.481356564711337E-2</v>
      </c>
      <c r="X35" s="59">
        <f t="shared" si="4"/>
        <v>8.0958403572244569E-2</v>
      </c>
      <c r="Y35" s="59">
        <f t="shared" si="5"/>
        <v>7.7103241497375796E-2</v>
      </c>
    </row>
    <row r="36" spans="1:25" x14ac:dyDescent="0.25">
      <c r="A36" s="94" t="s">
        <v>112</v>
      </c>
      <c r="B36" s="99">
        <f>Expenses!B33</f>
        <v>200</v>
      </c>
      <c r="C36" s="99">
        <f>Expenses!C33</f>
        <v>200</v>
      </c>
      <c r="D36" s="99">
        <f>Expenses!D33</f>
        <v>200</v>
      </c>
      <c r="E36" s="99">
        <f>Expenses!E33</f>
        <v>200</v>
      </c>
      <c r="F36" s="99">
        <f>Expenses!F33</f>
        <v>200</v>
      </c>
      <c r="G36" s="99">
        <f>Expenses!G33</f>
        <v>200</v>
      </c>
      <c r="H36" s="99">
        <f>Expenses!H33</f>
        <v>200</v>
      </c>
      <c r="I36" s="99">
        <f>Expenses!I33</f>
        <v>200</v>
      </c>
      <c r="J36" s="99">
        <f>Expenses!J33</f>
        <v>200</v>
      </c>
      <c r="K36" s="99">
        <f>Expenses!K33</f>
        <v>200</v>
      </c>
      <c r="L36" s="99">
        <f>Expenses!L33</f>
        <v>200</v>
      </c>
      <c r="M36" s="99">
        <f>Expenses!M33</f>
        <v>200</v>
      </c>
      <c r="O36" s="99">
        <f>Expenses!O33</f>
        <v>2400</v>
      </c>
      <c r="P36" s="99">
        <f>Expenses!P33</f>
        <v>2400</v>
      </c>
      <c r="Q36" s="99">
        <f>Expenses!Q33</f>
        <v>2400</v>
      </c>
      <c r="R36" s="99">
        <f>Expenses!R33</f>
        <v>2400</v>
      </c>
      <c r="S36" s="99">
        <f>Expenses!S33</f>
        <v>2400</v>
      </c>
      <c r="U36" s="59">
        <f t="shared" si="1"/>
        <v>1.5831865587461164E-2</v>
      </c>
      <c r="V36" s="59">
        <f t="shared" si="2"/>
        <v>1.1308475419615115E-2</v>
      </c>
      <c r="W36" s="59">
        <f t="shared" si="3"/>
        <v>8.6988272458577813E-3</v>
      </c>
      <c r="X36" s="59">
        <f t="shared" si="4"/>
        <v>7.9080247689616179E-3</v>
      </c>
      <c r="Y36" s="59">
        <f t="shared" si="5"/>
        <v>7.5314521609158285E-3</v>
      </c>
    </row>
    <row r="37" spans="1:25" x14ac:dyDescent="0.25">
      <c r="A37" s="94" t="s">
        <v>113</v>
      </c>
      <c r="B37" s="99">
        <f>Expenses!B34</f>
        <v>175</v>
      </c>
      <c r="C37" s="99">
        <f>Expenses!C34</f>
        <v>175</v>
      </c>
      <c r="D37" s="99">
        <f>Expenses!D34</f>
        <v>175</v>
      </c>
      <c r="E37" s="99">
        <f>Expenses!E34</f>
        <v>175</v>
      </c>
      <c r="F37" s="99">
        <f>Expenses!F34</f>
        <v>175</v>
      </c>
      <c r="G37" s="99">
        <f>Expenses!G34</f>
        <v>175</v>
      </c>
      <c r="H37" s="99">
        <f>Expenses!H34</f>
        <v>175</v>
      </c>
      <c r="I37" s="99">
        <f>Expenses!I34</f>
        <v>175</v>
      </c>
      <c r="J37" s="99">
        <f>Expenses!J34</f>
        <v>175</v>
      </c>
      <c r="K37" s="99">
        <f>Expenses!K34</f>
        <v>175</v>
      </c>
      <c r="L37" s="99">
        <f>Expenses!L34</f>
        <v>175</v>
      </c>
      <c r="M37" s="99">
        <f>Expenses!M34</f>
        <v>175</v>
      </c>
      <c r="O37" s="99">
        <f>Expenses!O34</f>
        <v>2100</v>
      </c>
      <c r="P37" s="99">
        <f>Expenses!P34</f>
        <v>2205</v>
      </c>
      <c r="Q37" s="99">
        <f>Expenses!Q34</f>
        <v>2293.2000000000003</v>
      </c>
      <c r="R37" s="99">
        <f>Expenses!R34</f>
        <v>2361.9960000000005</v>
      </c>
      <c r="S37" s="99">
        <f>Expenses!S34</f>
        <v>2409.2359200000005</v>
      </c>
      <c r="U37" s="59">
        <f t="shared" si="1"/>
        <v>1.3852882389028516E-2</v>
      </c>
      <c r="V37" s="59">
        <f t="shared" si="2"/>
        <v>1.0389661791771388E-2</v>
      </c>
      <c r="W37" s="59">
        <f t="shared" si="3"/>
        <v>8.3117294334171116E-3</v>
      </c>
      <c r="X37" s="59">
        <f t="shared" si="4"/>
        <v>7.782801196745113E-3</v>
      </c>
      <c r="Y37" s="59">
        <f t="shared" si="5"/>
        <v>7.5604354482666832E-3</v>
      </c>
    </row>
    <row r="38" spans="1:25" x14ac:dyDescent="0.25">
      <c r="A38" s="94" t="s">
        <v>115</v>
      </c>
      <c r="B38" s="99">
        <f>Expenses!B35</f>
        <v>275</v>
      </c>
      <c r="C38" s="99">
        <f>Expenses!C35</f>
        <v>275</v>
      </c>
      <c r="D38" s="99">
        <f>Expenses!D35</f>
        <v>275</v>
      </c>
      <c r="E38" s="99">
        <f>Expenses!E35</f>
        <v>275</v>
      </c>
      <c r="F38" s="99">
        <f>Expenses!F35</f>
        <v>275</v>
      </c>
      <c r="G38" s="99">
        <f>Expenses!G35</f>
        <v>275</v>
      </c>
      <c r="H38" s="99">
        <f>Expenses!H35</f>
        <v>275</v>
      </c>
      <c r="I38" s="99">
        <f>Expenses!I35</f>
        <v>275</v>
      </c>
      <c r="J38" s="99">
        <f>Expenses!J35</f>
        <v>275</v>
      </c>
      <c r="K38" s="99">
        <f>Expenses!K35</f>
        <v>275</v>
      </c>
      <c r="L38" s="99">
        <f>Expenses!L35</f>
        <v>275</v>
      </c>
      <c r="M38" s="99">
        <f>Expenses!M35</f>
        <v>275</v>
      </c>
      <c r="O38" s="99">
        <f>Expenses!O35</f>
        <v>3300</v>
      </c>
      <c r="P38" s="99">
        <f>Expenses!P35</f>
        <v>3465</v>
      </c>
      <c r="Q38" s="99">
        <f>Expenses!Q35</f>
        <v>3603.6</v>
      </c>
      <c r="R38" s="99">
        <f>Expenses!R35</f>
        <v>3711.7080000000001</v>
      </c>
      <c r="S38" s="99">
        <f>Expenses!S35</f>
        <v>3785.9421600000001</v>
      </c>
      <c r="U38" s="59">
        <f t="shared" si="1"/>
        <v>2.17688151827591E-2</v>
      </c>
      <c r="V38" s="59">
        <f t="shared" si="2"/>
        <v>1.6326611387069322E-2</v>
      </c>
      <c r="W38" s="59">
        <f t="shared" si="3"/>
        <v>1.3061289109655459E-2</v>
      </c>
      <c r="X38" s="59">
        <f t="shared" si="4"/>
        <v>1.2230116166313747E-2</v>
      </c>
      <c r="Y38" s="59">
        <f t="shared" si="5"/>
        <v>1.1880684275847642E-2</v>
      </c>
    </row>
    <row r="39" spans="1:25" x14ac:dyDescent="0.25">
      <c r="A39" s="94" t="s">
        <v>116</v>
      </c>
      <c r="B39" s="99">
        <f>Expenses!B36</f>
        <v>130</v>
      </c>
      <c r="C39" s="99">
        <f>Expenses!C36</f>
        <v>130</v>
      </c>
      <c r="D39" s="99">
        <f>Expenses!D36</f>
        <v>130</v>
      </c>
      <c r="E39" s="99">
        <f>Expenses!E36</f>
        <v>130</v>
      </c>
      <c r="F39" s="99">
        <f>Expenses!F36</f>
        <v>130</v>
      </c>
      <c r="G39" s="99">
        <f>Expenses!G36</f>
        <v>130</v>
      </c>
      <c r="H39" s="99">
        <f>Expenses!H36</f>
        <v>130</v>
      </c>
      <c r="I39" s="99">
        <f>Expenses!I36</f>
        <v>130</v>
      </c>
      <c r="J39" s="99">
        <f>Expenses!J36</f>
        <v>130</v>
      </c>
      <c r="K39" s="99">
        <f>Expenses!K36</f>
        <v>130</v>
      </c>
      <c r="L39" s="99">
        <f>Expenses!L36</f>
        <v>130</v>
      </c>
      <c r="M39" s="99">
        <f>Expenses!M36</f>
        <v>130</v>
      </c>
      <c r="O39" s="99">
        <f>Expenses!O36</f>
        <v>1560</v>
      </c>
      <c r="P39" s="99">
        <f>Expenses!P36</f>
        <v>1638</v>
      </c>
      <c r="Q39" s="99">
        <f>Expenses!Q36</f>
        <v>1703.52</v>
      </c>
      <c r="R39" s="99">
        <f>Expenses!R36</f>
        <v>1754.6256000000001</v>
      </c>
      <c r="S39" s="99">
        <f>Expenses!S36</f>
        <v>1789.718112</v>
      </c>
      <c r="U39" s="59">
        <f t="shared" si="1"/>
        <v>1.0290712631849755E-2</v>
      </c>
      <c r="V39" s="59">
        <f t="shared" si="2"/>
        <v>7.718034473887316E-3</v>
      </c>
      <c r="W39" s="59">
        <f t="shared" si="3"/>
        <v>6.1744275791098535E-3</v>
      </c>
      <c r="X39" s="59">
        <f t="shared" si="4"/>
        <v>5.7815094604392256E-3</v>
      </c>
      <c r="Y39" s="59">
        <f t="shared" si="5"/>
        <v>5.6163234758552488E-3</v>
      </c>
    </row>
    <row r="40" spans="1:25" x14ac:dyDescent="0.25">
      <c r="A40" s="94" t="s">
        <v>117</v>
      </c>
      <c r="B40" s="99">
        <f>Expenses!B37</f>
        <v>175</v>
      </c>
      <c r="C40" s="99">
        <f>Expenses!C37</f>
        <v>175</v>
      </c>
      <c r="D40" s="99">
        <f>Expenses!D37</f>
        <v>175</v>
      </c>
      <c r="E40" s="99">
        <f>Expenses!E37</f>
        <v>175</v>
      </c>
      <c r="F40" s="99">
        <f>Expenses!F37</f>
        <v>175</v>
      </c>
      <c r="G40" s="99">
        <f>Expenses!G37</f>
        <v>175</v>
      </c>
      <c r="H40" s="99">
        <f>Expenses!H37</f>
        <v>175</v>
      </c>
      <c r="I40" s="99">
        <f>Expenses!I37</f>
        <v>175</v>
      </c>
      <c r="J40" s="99">
        <f>Expenses!J37</f>
        <v>175</v>
      </c>
      <c r="K40" s="99">
        <f>Expenses!K37</f>
        <v>175</v>
      </c>
      <c r="L40" s="99">
        <f>Expenses!L37</f>
        <v>175</v>
      </c>
      <c r="M40" s="99">
        <f>Expenses!M37</f>
        <v>175</v>
      </c>
      <c r="O40" s="99">
        <f>Expenses!O37</f>
        <v>2100</v>
      </c>
      <c r="P40" s="99">
        <f>Expenses!P37</f>
        <v>2205</v>
      </c>
      <c r="Q40" s="99">
        <f>Expenses!Q37</f>
        <v>2293.2000000000003</v>
      </c>
      <c r="R40" s="99">
        <f>Expenses!R37</f>
        <v>2361.9960000000005</v>
      </c>
      <c r="S40" s="99">
        <f>Expenses!S37</f>
        <v>2409.2359200000005</v>
      </c>
      <c r="U40" s="59">
        <f t="shared" si="1"/>
        <v>1.3852882389028516E-2</v>
      </c>
      <c r="V40" s="59">
        <f t="shared" si="2"/>
        <v>1.0389661791771388E-2</v>
      </c>
      <c r="W40" s="59">
        <f t="shared" si="3"/>
        <v>8.3117294334171116E-3</v>
      </c>
      <c r="X40" s="59">
        <f t="shared" si="4"/>
        <v>7.782801196745113E-3</v>
      </c>
      <c r="Y40" s="59">
        <f t="shared" si="5"/>
        <v>7.5604354482666832E-3</v>
      </c>
    </row>
    <row r="41" spans="1:25" x14ac:dyDescent="0.25">
      <c r="A41" s="94" t="s">
        <v>118</v>
      </c>
      <c r="B41" s="99">
        <f>Expenses!B38</f>
        <v>85</v>
      </c>
      <c r="C41" s="99">
        <f>Expenses!C38</f>
        <v>85</v>
      </c>
      <c r="D41" s="99">
        <f>Expenses!D38</f>
        <v>85</v>
      </c>
      <c r="E41" s="99">
        <f>Expenses!E38</f>
        <v>85</v>
      </c>
      <c r="F41" s="99">
        <f>Expenses!F38</f>
        <v>85</v>
      </c>
      <c r="G41" s="99">
        <f>Expenses!G38</f>
        <v>85</v>
      </c>
      <c r="H41" s="99">
        <f>Expenses!H38</f>
        <v>85</v>
      </c>
      <c r="I41" s="99">
        <f>Expenses!I38</f>
        <v>85</v>
      </c>
      <c r="J41" s="99">
        <f>Expenses!J38</f>
        <v>85</v>
      </c>
      <c r="K41" s="99">
        <f>Expenses!K38</f>
        <v>85</v>
      </c>
      <c r="L41" s="99">
        <f>Expenses!L38</f>
        <v>85</v>
      </c>
      <c r="M41" s="99">
        <f>Expenses!M38</f>
        <v>85</v>
      </c>
      <c r="O41" s="99">
        <f>Expenses!O38</f>
        <v>1020</v>
      </c>
      <c r="P41" s="99">
        <f>Expenses!P38</f>
        <v>1071</v>
      </c>
      <c r="Q41" s="99">
        <f>Expenses!Q38</f>
        <v>1113.8400000000001</v>
      </c>
      <c r="R41" s="99">
        <f>Expenses!R38</f>
        <v>1147.2552000000003</v>
      </c>
      <c r="S41" s="99">
        <f>Expenses!S38</f>
        <v>1170.2003040000004</v>
      </c>
      <c r="U41" s="59">
        <f t="shared" si="1"/>
        <v>6.7285428746709942E-3</v>
      </c>
      <c r="V41" s="59">
        <f t="shared" si="2"/>
        <v>5.0464071560032452E-3</v>
      </c>
      <c r="W41" s="59">
        <f t="shared" si="3"/>
        <v>4.0371257248025972E-3</v>
      </c>
      <c r="X41" s="59">
        <f t="shared" si="4"/>
        <v>3.7802177241333407E-3</v>
      </c>
      <c r="Y41" s="59">
        <f t="shared" si="5"/>
        <v>3.6722115034438178E-3</v>
      </c>
    </row>
    <row r="42" spans="1:25" x14ac:dyDescent="0.25">
      <c r="A42" s="94" t="s">
        <v>119</v>
      </c>
      <c r="B42" s="99">
        <f>Expenses!B39</f>
        <v>50</v>
      </c>
      <c r="C42" s="99">
        <f>Expenses!C39</f>
        <v>50</v>
      </c>
      <c r="D42" s="99">
        <f>Expenses!D39</f>
        <v>50</v>
      </c>
      <c r="E42" s="99">
        <f>Expenses!E39</f>
        <v>50</v>
      </c>
      <c r="F42" s="99">
        <f>Expenses!F39</f>
        <v>50</v>
      </c>
      <c r="G42" s="99">
        <f>Expenses!G39</f>
        <v>50</v>
      </c>
      <c r="H42" s="99">
        <f>Expenses!H39</f>
        <v>50</v>
      </c>
      <c r="I42" s="99">
        <f>Expenses!I39</f>
        <v>50</v>
      </c>
      <c r="J42" s="99">
        <f>Expenses!J39</f>
        <v>50</v>
      </c>
      <c r="K42" s="99">
        <f>Expenses!K39</f>
        <v>50</v>
      </c>
      <c r="L42" s="99">
        <f>Expenses!L39</f>
        <v>50</v>
      </c>
      <c r="M42" s="99">
        <f>Expenses!M39</f>
        <v>50</v>
      </c>
      <c r="O42" s="99">
        <f>Expenses!O39</f>
        <v>600</v>
      </c>
      <c r="P42" s="99">
        <f>Expenses!P39</f>
        <v>630</v>
      </c>
      <c r="Q42" s="99">
        <f>Expenses!Q39</f>
        <v>655.20000000000005</v>
      </c>
      <c r="R42" s="99">
        <f>Expenses!R39</f>
        <v>674.85600000000011</v>
      </c>
      <c r="S42" s="99">
        <f>Expenses!S39</f>
        <v>688.3531200000001</v>
      </c>
      <c r="U42" s="59">
        <f t="shared" si="1"/>
        <v>3.9579663968652909E-3</v>
      </c>
      <c r="V42" s="59">
        <f t="shared" si="2"/>
        <v>2.9684747976489677E-3</v>
      </c>
      <c r="W42" s="59">
        <f t="shared" si="3"/>
        <v>2.3747798381191744E-3</v>
      </c>
      <c r="X42" s="59">
        <f t="shared" si="4"/>
        <v>2.2236574847843177E-3</v>
      </c>
      <c r="Y42" s="59">
        <f t="shared" si="5"/>
        <v>2.1601244137904809E-3</v>
      </c>
    </row>
    <row r="43" spans="1:25" x14ac:dyDescent="0.25">
      <c r="A43" s="94" t="s">
        <v>120</v>
      </c>
      <c r="B43" s="99">
        <f>Expenses!B40</f>
        <v>20</v>
      </c>
      <c r="C43" s="99">
        <f>Expenses!C40</f>
        <v>20</v>
      </c>
      <c r="D43" s="99">
        <f>Expenses!D40</f>
        <v>20</v>
      </c>
      <c r="E43" s="99">
        <f>Expenses!E40</f>
        <v>20</v>
      </c>
      <c r="F43" s="99">
        <f>Expenses!F40</f>
        <v>20</v>
      </c>
      <c r="G43" s="99">
        <f>Expenses!G40</f>
        <v>20</v>
      </c>
      <c r="H43" s="99">
        <f>Expenses!H40</f>
        <v>20</v>
      </c>
      <c r="I43" s="99">
        <f>Expenses!I40</f>
        <v>20</v>
      </c>
      <c r="J43" s="99">
        <f>Expenses!J40</f>
        <v>20</v>
      </c>
      <c r="K43" s="99">
        <f>Expenses!K40</f>
        <v>20</v>
      </c>
      <c r="L43" s="99">
        <f>Expenses!L40</f>
        <v>20</v>
      </c>
      <c r="M43" s="99">
        <f>Expenses!M40</f>
        <v>20</v>
      </c>
      <c r="O43" s="99">
        <f>Expenses!O40</f>
        <v>240</v>
      </c>
      <c r="P43" s="99">
        <f>Expenses!P40</f>
        <v>252</v>
      </c>
      <c r="Q43" s="99">
        <f>Expenses!Q40</f>
        <v>262.08</v>
      </c>
      <c r="R43" s="99">
        <f>Expenses!R40</f>
        <v>269.94239999999996</v>
      </c>
      <c r="S43" s="99">
        <f>Expenses!S40</f>
        <v>275.34124799999995</v>
      </c>
      <c r="U43" s="59">
        <f t="shared" si="1"/>
        <v>1.5831865587461163E-3</v>
      </c>
      <c r="V43" s="59">
        <f t="shared" si="2"/>
        <v>1.1873899190595872E-3</v>
      </c>
      <c r="W43" s="59">
        <f t="shared" si="3"/>
        <v>9.4991193524766968E-4</v>
      </c>
      <c r="X43" s="59">
        <f t="shared" si="4"/>
        <v>8.8946299391372686E-4</v>
      </c>
      <c r="Y43" s="59">
        <f t="shared" si="5"/>
        <v>8.6404976551619197E-4</v>
      </c>
    </row>
    <row r="44" spans="1:25" x14ac:dyDescent="0.25">
      <c r="A44" s="94" t="s">
        <v>122</v>
      </c>
      <c r="B44" s="99">
        <f>Expenses!B41</f>
        <v>75</v>
      </c>
      <c r="C44" s="99">
        <f>Expenses!C41</f>
        <v>75</v>
      </c>
      <c r="D44" s="99">
        <f>Expenses!D41</f>
        <v>75</v>
      </c>
      <c r="E44" s="99">
        <f>Expenses!E41</f>
        <v>75</v>
      </c>
      <c r="F44" s="99">
        <f>Expenses!F41</f>
        <v>75</v>
      </c>
      <c r="G44" s="99">
        <f>Expenses!G41</f>
        <v>75</v>
      </c>
      <c r="H44" s="99">
        <f>Expenses!H41</f>
        <v>75</v>
      </c>
      <c r="I44" s="99">
        <f>Expenses!I41</f>
        <v>75</v>
      </c>
      <c r="J44" s="99">
        <f>Expenses!J41</f>
        <v>75</v>
      </c>
      <c r="K44" s="99">
        <f>Expenses!K41</f>
        <v>75</v>
      </c>
      <c r="L44" s="99">
        <f>Expenses!L41</f>
        <v>75</v>
      </c>
      <c r="M44" s="99">
        <f>Expenses!M41</f>
        <v>75</v>
      </c>
      <c r="O44" s="99">
        <f>Expenses!O41</f>
        <v>900</v>
      </c>
      <c r="P44" s="99">
        <f>Expenses!P41</f>
        <v>945</v>
      </c>
      <c r="Q44" s="99">
        <f>Expenses!Q41</f>
        <v>982.80000000000007</v>
      </c>
      <c r="R44" s="99">
        <f>Expenses!R41</f>
        <v>1012.2840000000001</v>
      </c>
      <c r="S44" s="99">
        <f>Expenses!S41</f>
        <v>1032.5296800000001</v>
      </c>
      <c r="U44" s="59">
        <f t="shared" si="1"/>
        <v>5.9369495952979363E-3</v>
      </c>
      <c r="V44" s="59">
        <f t="shared" si="2"/>
        <v>4.4527121964734514E-3</v>
      </c>
      <c r="W44" s="59">
        <f t="shared" si="3"/>
        <v>3.5621697571787615E-3</v>
      </c>
      <c r="X44" s="59">
        <f t="shared" si="4"/>
        <v>3.3354862271764768E-3</v>
      </c>
      <c r="Y44" s="59">
        <f t="shared" si="5"/>
        <v>3.2401866206857206E-3</v>
      </c>
    </row>
    <row r="45" spans="1:25" x14ac:dyDescent="0.25">
      <c r="A45" s="94" t="s">
        <v>123</v>
      </c>
      <c r="B45" s="99">
        <f>Expenses!B42</f>
        <v>100</v>
      </c>
      <c r="C45" s="99">
        <f>Expenses!C42</f>
        <v>100</v>
      </c>
      <c r="D45" s="99">
        <f>Expenses!D42</f>
        <v>100</v>
      </c>
      <c r="E45" s="99">
        <f>Expenses!E42</f>
        <v>100</v>
      </c>
      <c r="F45" s="99">
        <f>Expenses!F42</f>
        <v>100</v>
      </c>
      <c r="G45" s="99">
        <f>Expenses!G42</f>
        <v>100</v>
      </c>
      <c r="H45" s="99">
        <f>Expenses!H42</f>
        <v>100</v>
      </c>
      <c r="I45" s="99">
        <f>Expenses!I42</f>
        <v>100</v>
      </c>
      <c r="J45" s="99">
        <f>Expenses!J42</f>
        <v>100</v>
      </c>
      <c r="K45" s="99">
        <f>Expenses!K42</f>
        <v>100</v>
      </c>
      <c r="L45" s="99">
        <f>Expenses!L42</f>
        <v>100</v>
      </c>
      <c r="M45" s="99">
        <f>Expenses!M42</f>
        <v>100</v>
      </c>
      <c r="O45" s="99">
        <f>Expenses!O42</f>
        <v>1200</v>
      </c>
      <c r="P45" s="99">
        <f>Expenses!P42</f>
        <v>1260</v>
      </c>
      <c r="Q45" s="99">
        <f>Expenses!Q42</f>
        <v>1310.4000000000001</v>
      </c>
      <c r="R45" s="99">
        <f>Expenses!R42</f>
        <v>1349.7120000000002</v>
      </c>
      <c r="S45" s="99">
        <f>Expenses!S42</f>
        <v>1376.7062400000002</v>
      </c>
      <c r="U45" s="59">
        <f t="shared" si="1"/>
        <v>7.9159327937305818E-3</v>
      </c>
      <c r="V45" s="59">
        <f t="shared" si="2"/>
        <v>5.9369495952979355E-3</v>
      </c>
      <c r="W45" s="59">
        <f t="shared" si="3"/>
        <v>4.7495596762383487E-3</v>
      </c>
      <c r="X45" s="59">
        <f t="shared" si="4"/>
        <v>4.4473149695686354E-3</v>
      </c>
      <c r="Y45" s="59">
        <f t="shared" si="5"/>
        <v>4.3202488275809617E-3</v>
      </c>
    </row>
    <row r="46" spans="1:25" s="102" customFormat="1" x14ac:dyDescent="0.25">
      <c r="A46" s="107" t="s">
        <v>124</v>
      </c>
      <c r="B46" s="102">
        <f>Expenses!B43</f>
        <v>100</v>
      </c>
      <c r="C46" s="102">
        <f>Expenses!C43</f>
        <v>100</v>
      </c>
      <c r="D46" s="102">
        <f>Expenses!D43</f>
        <v>100</v>
      </c>
      <c r="E46" s="102">
        <f>Expenses!E43</f>
        <v>100</v>
      </c>
      <c r="F46" s="102">
        <f>Expenses!F43</f>
        <v>100</v>
      </c>
      <c r="G46" s="102">
        <f>Expenses!G43</f>
        <v>100</v>
      </c>
      <c r="H46" s="102">
        <f>Expenses!H43</f>
        <v>100</v>
      </c>
      <c r="I46" s="102">
        <f>Expenses!I43</f>
        <v>100</v>
      </c>
      <c r="J46" s="102">
        <f>Expenses!J43</f>
        <v>100</v>
      </c>
      <c r="K46" s="102">
        <f>Expenses!K43</f>
        <v>100</v>
      </c>
      <c r="L46" s="102">
        <f>Expenses!L43</f>
        <v>100</v>
      </c>
      <c r="M46" s="102">
        <f>Expenses!M43</f>
        <v>100</v>
      </c>
      <c r="N46" s="35"/>
      <c r="O46" s="102">
        <f>Expenses!O43</f>
        <v>1200</v>
      </c>
      <c r="P46" s="102">
        <f>Expenses!P43</f>
        <v>1260</v>
      </c>
      <c r="Q46" s="102">
        <f>Expenses!Q43</f>
        <v>1310.4000000000001</v>
      </c>
      <c r="R46" s="102">
        <f>Expenses!R43</f>
        <v>1349.7120000000002</v>
      </c>
      <c r="S46" s="102">
        <f>Expenses!S43</f>
        <v>1376.7062400000002</v>
      </c>
      <c r="U46" s="88">
        <f t="shared" si="1"/>
        <v>7.9159327937305818E-3</v>
      </c>
      <c r="V46" s="88">
        <f t="shared" si="2"/>
        <v>5.9369495952979355E-3</v>
      </c>
      <c r="W46" s="88">
        <f t="shared" si="3"/>
        <v>4.7495596762383487E-3</v>
      </c>
      <c r="X46" s="88">
        <f t="shared" si="4"/>
        <v>4.4473149695686354E-3</v>
      </c>
      <c r="Y46" s="88">
        <f t="shared" si="5"/>
        <v>4.3202488275809617E-3</v>
      </c>
    </row>
    <row r="47" spans="1:25" x14ac:dyDescent="0.25">
      <c r="A47" s="92" t="s">
        <v>87</v>
      </c>
      <c r="B47" s="99">
        <f>Expenses!B44</f>
        <v>3335</v>
      </c>
      <c r="C47" s="99">
        <f>Expenses!C44</f>
        <v>3335</v>
      </c>
      <c r="D47" s="99">
        <f>Expenses!D44</f>
        <v>3335</v>
      </c>
      <c r="E47" s="99">
        <f>Expenses!E44</f>
        <v>3335</v>
      </c>
      <c r="F47" s="99">
        <f>Expenses!F44</f>
        <v>3335</v>
      </c>
      <c r="G47" s="99">
        <f>Expenses!G44</f>
        <v>3335</v>
      </c>
      <c r="H47" s="99">
        <f>Expenses!H44</f>
        <v>3335</v>
      </c>
      <c r="I47" s="99">
        <f>Expenses!I44</f>
        <v>3335</v>
      </c>
      <c r="J47" s="99">
        <f>Expenses!J44</f>
        <v>3335</v>
      </c>
      <c r="K47" s="99">
        <f>Expenses!K44</f>
        <v>3335</v>
      </c>
      <c r="L47" s="99">
        <f>Expenses!L44</f>
        <v>3335</v>
      </c>
      <c r="M47" s="99">
        <f>Expenses!M44</f>
        <v>3335</v>
      </c>
      <c r="O47" s="99">
        <f>Expenses!O44</f>
        <v>40020</v>
      </c>
      <c r="P47" s="99">
        <f>Expenses!P44</f>
        <v>40731</v>
      </c>
      <c r="Q47" s="99">
        <f>Expenses!Q44</f>
        <v>41328.240000000005</v>
      </c>
      <c r="R47" s="99">
        <f>Expenses!R44</f>
        <v>42964.087199999994</v>
      </c>
      <c r="S47" s="99">
        <f>Expenses!S44</f>
        <v>43283.968943999993</v>
      </c>
      <c r="U47" s="59">
        <f t="shared" si="1"/>
        <v>0.26399635867091487</v>
      </c>
      <c r="V47" s="59">
        <f t="shared" si="2"/>
        <v>0.19191896346514303</v>
      </c>
      <c r="W47" s="59">
        <f t="shared" si="3"/>
        <v>0.1497946750563956</v>
      </c>
      <c r="X47" s="59">
        <f t="shared" si="4"/>
        <v>0.1415671107305945</v>
      </c>
      <c r="Y47" s="59">
        <f t="shared" si="5"/>
        <v>0.13582964226512598</v>
      </c>
    </row>
    <row r="48" spans="1:25" x14ac:dyDescent="0.25">
      <c r="A48" s="2"/>
      <c r="U48" s="59"/>
      <c r="V48" s="59"/>
      <c r="W48" s="59"/>
      <c r="X48" s="59"/>
      <c r="Y48" s="59"/>
    </row>
    <row r="49" spans="1:25" s="103" customFormat="1" x14ac:dyDescent="0.25">
      <c r="A49" s="27" t="s">
        <v>61</v>
      </c>
      <c r="B49" s="103">
        <f>Expenses!B46</f>
        <v>10472.34</v>
      </c>
      <c r="C49" s="103">
        <f>Expenses!C46</f>
        <v>10723.5</v>
      </c>
      <c r="D49" s="103">
        <f>Expenses!D46</f>
        <v>10849.08</v>
      </c>
      <c r="E49" s="103">
        <f>Expenses!E46</f>
        <v>10911.87</v>
      </c>
      <c r="F49" s="103">
        <f>Expenses!F46</f>
        <v>10974.66</v>
      </c>
      <c r="G49" s="103">
        <f>Expenses!G46</f>
        <v>11100.240000000002</v>
      </c>
      <c r="H49" s="103">
        <f>Expenses!H46</f>
        <v>10974.66</v>
      </c>
      <c r="I49" s="103">
        <f>Expenses!I46</f>
        <v>11100.240000000002</v>
      </c>
      <c r="J49" s="103">
        <f>Expenses!J46</f>
        <v>11100.240000000002</v>
      </c>
      <c r="K49" s="103">
        <f>Expenses!K46</f>
        <v>11100.240000000002</v>
      </c>
      <c r="L49" s="103">
        <f>Expenses!L46</f>
        <v>11225.82</v>
      </c>
      <c r="M49" s="103">
        <f>Expenses!M46</f>
        <v>11225.82</v>
      </c>
      <c r="N49" s="37"/>
      <c r="O49" s="103">
        <f>Expenses!O46</f>
        <v>131758.71</v>
      </c>
      <c r="P49" s="103">
        <f>Expenses!P46</f>
        <v>169421.9026</v>
      </c>
      <c r="Q49" s="103">
        <f>Expenses!Q46</f>
        <v>221854.69338000001</v>
      </c>
      <c r="R49" s="103">
        <f>Expenses!R46</f>
        <v>226417.42591799999</v>
      </c>
      <c r="S49" s="103">
        <f>Expenses!S46</f>
        <v>228347.09459790002</v>
      </c>
      <c r="U49" s="109">
        <f t="shared" si="1"/>
        <v>0.86916091112386451</v>
      </c>
      <c r="V49" s="109">
        <f t="shared" si="2"/>
        <v>0.79829309212355259</v>
      </c>
      <c r="W49" s="109">
        <f t="shared" si="3"/>
        <v>0.80411485474806998</v>
      </c>
      <c r="X49" s="109">
        <f t="shared" si="4"/>
        <v>0.74604775511836507</v>
      </c>
      <c r="Y49" s="109">
        <f t="shared" si="5"/>
        <v>0.71657717460341885</v>
      </c>
    </row>
    <row r="50" spans="1:25" x14ac:dyDescent="0.25">
      <c r="U50" s="59">
        <f t="shared" si="1"/>
        <v>0</v>
      </c>
      <c r="V50" s="59">
        <f t="shared" si="2"/>
        <v>0</v>
      </c>
      <c r="W50" s="59">
        <f t="shared" si="3"/>
        <v>0</v>
      </c>
      <c r="X50" s="59">
        <f t="shared" si="4"/>
        <v>0</v>
      </c>
      <c r="Y50" s="59">
        <f t="shared" si="5"/>
        <v>0</v>
      </c>
    </row>
    <row r="51" spans="1:25" s="103" customFormat="1" hidden="1" x14ac:dyDescent="0.25">
      <c r="A51" s="103" t="s">
        <v>64</v>
      </c>
      <c r="B51" s="103">
        <f t="shared" ref="B51:M51" si="6">B13-B49</f>
        <v>-5090.3400000000011</v>
      </c>
      <c r="C51" s="103">
        <f t="shared" si="6"/>
        <v>-1753.5</v>
      </c>
      <c r="D51" s="103">
        <f t="shared" si="6"/>
        <v>-85.080000000001746</v>
      </c>
      <c r="E51" s="103">
        <f t="shared" si="6"/>
        <v>749.1299999999992</v>
      </c>
      <c r="F51" s="103">
        <f t="shared" si="6"/>
        <v>1583.3400000000001</v>
      </c>
      <c r="G51" s="103">
        <f t="shared" si="6"/>
        <v>3251.7599999999984</v>
      </c>
      <c r="H51" s="103">
        <f t="shared" si="6"/>
        <v>1583.3400000000001</v>
      </c>
      <c r="I51" s="103">
        <f t="shared" si="6"/>
        <v>3251.7599999999984</v>
      </c>
      <c r="J51" s="103">
        <f t="shared" si="6"/>
        <v>3251.7599999999984</v>
      </c>
      <c r="K51" s="103">
        <f t="shared" si="6"/>
        <v>3251.7599999999984</v>
      </c>
      <c r="L51" s="103">
        <f t="shared" si="6"/>
        <v>4920.1800000000021</v>
      </c>
      <c r="M51" s="103">
        <f t="shared" si="6"/>
        <v>4920.1800000000021</v>
      </c>
      <c r="N51" s="37"/>
      <c r="O51" s="103">
        <f>O13-O49</f>
        <v>19834.290000000008</v>
      </c>
      <c r="P51" s="103">
        <f>P13-P49</f>
        <v>42808.29740000001</v>
      </c>
      <c r="Q51" s="103">
        <f>Q13-Q49</f>
        <v>54044.566619999998</v>
      </c>
      <c r="R51" s="103">
        <f>R13-R49</f>
        <v>77071.760082000052</v>
      </c>
      <c r="S51" s="103">
        <f>S13-S49</f>
        <v>90316.55070209995</v>
      </c>
      <c r="U51" s="109">
        <f t="shared" si="1"/>
        <v>0.13083908887613549</v>
      </c>
      <c r="V51" s="109">
        <f t="shared" si="2"/>
        <v>0.20170690787644741</v>
      </c>
      <c r="W51" s="109">
        <f t="shared" si="3"/>
        <v>0.19588514525192999</v>
      </c>
      <c r="X51" s="109">
        <f t="shared" si="4"/>
        <v>0.25395224488163487</v>
      </c>
      <c r="Y51" s="109">
        <f t="shared" si="5"/>
        <v>0.28342282539658115</v>
      </c>
    </row>
    <row r="52" spans="1:25" hidden="1" x14ac:dyDescent="0.25">
      <c r="A52" s="100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O52" s="6"/>
      <c r="P52" s="6"/>
      <c r="Q52" s="6"/>
      <c r="R52" s="6"/>
      <c r="S52" s="6"/>
      <c r="U52" s="59">
        <f t="shared" ref="U52:Y53" si="7">O52/O$13</f>
        <v>0</v>
      </c>
      <c r="V52" s="59">
        <f t="shared" si="7"/>
        <v>0</v>
      </c>
      <c r="W52" s="59">
        <f t="shared" si="7"/>
        <v>0</v>
      </c>
      <c r="X52" s="59">
        <f t="shared" si="7"/>
        <v>0</v>
      </c>
      <c r="Y52" s="59">
        <f t="shared" si="7"/>
        <v>0</v>
      </c>
    </row>
    <row r="53" spans="1:25" hidden="1" x14ac:dyDescent="0.25">
      <c r="A53" s="100" t="s">
        <v>66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O53" s="81">
        <f>IF(O51&gt;0,(O51*Assumptions!I26),0)</f>
        <v>0</v>
      </c>
      <c r="P53" s="81">
        <f>IF(P51&gt;0,(P51*Assumptions!J26),0)</f>
        <v>0</v>
      </c>
      <c r="Q53" s="81">
        <f>IF(Q51&gt;0,(Q51*Assumptions!K26),0)</f>
        <v>0</v>
      </c>
      <c r="R53" s="81">
        <f>IF(R51&gt;0,(R51*Assumptions!L26),0)</f>
        <v>0</v>
      </c>
      <c r="S53" s="81">
        <f>IF(S51&gt;0,(S51*Assumptions!M26),0)</f>
        <v>0</v>
      </c>
      <c r="U53" s="59">
        <f t="shared" si="7"/>
        <v>0</v>
      </c>
      <c r="V53" s="59">
        <f t="shared" si="7"/>
        <v>0</v>
      </c>
      <c r="W53" s="59">
        <f t="shared" si="7"/>
        <v>0</v>
      </c>
      <c r="X53" s="59">
        <f t="shared" si="7"/>
        <v>0</v>
      </c>
      <c r="Y53" s="59">
        <f t="shared" si="7"/>
        <v>0</v>
      </c>
    </row>
    <row r="54" spans="1:25" s="104" customFormat="1" ht="11" thickBot="1" x14ac:dyDescent="0.3">
      <c r="A54" s="104" t="s">
        <v>68</v>
      </c>
      <c r="B54" s="104">
        <f>B51-SUM(B52:B53)</f>
        <v>-5090.3400000000011</v>
      </c>
      <c r="C54" s="104">
        <f t="shared" ref="C54:M54" si="8">C51-SUM(C52:C53)</f>
        <v>-1753.5</v>
      </c>
      <c r="D54" s="104">
        <f t="shared" si="8"/>
        <v>-85.080000000001746</v>
      </c>
      <c r="E54" s="104">
        <f t="shared" si="8"/>
        <v>749.1299999999992</v>
      </c>
      <c r="F54" s="104">
        <f t="shared" si="8"/>
        <v>1583.3400000000001</v>
      </c>
      <c r="G54" s="104">
        <f t="shared" si="8"/>
        <v>3251.7599999999984</v>
      </c>
      <c r="H54" s="104">
        <f t="shared" si="8"/>
        <v>1583.3400000000001</v>
      </c>
      <c r="I54" s="104">
        <f t="shared" si="8"/>
        <v>3251.7599999999984</v>
      </c>
      <c r="J54" s="104">
        <f t="shared" si="8"/>
        <v>3251.7599999999984</v>
      </c>
      <c r="K54" s="104">
        <f t="shared" si="8"/>
        <v>3251.7599999999984</v>
      </c>
      <c r="L54" s="104">
        <f t="shared" si="8"/>
        <v>4920.1800000000021</v>
      </c>
      <c r="M54" s="104">
        <f t="shared" si="8"/>
        <v>4920.1800000000021</v>
      </c>
      <c r="N54" s="49"/>
      <c r="O54" s="104">
        <f>O51-SUM(O52:O53)</f>
        <v>19834.290000000008</v>
      </c>
      <c r="P54" s="104">
        <f>P51-SUM(P52:P53)</f>
        <v>42808.29740000001</v>
      </c>
      <c r="Q54" s="104">
        <f>Q51-SUM(Q52:Q53)</f>
        <v>54044.566619999998</v>
      </c>
      <c r="R54" s="104">
        <f>R51-SUM(R52:R53)</f>
        <v>77071.760082000052</v>
      </c>
      <c r="S54" s="104">
        <f>S51-SUM(S52:S53)</f>
        <v>90316.55070209995</v>
      </c>
      <c r="U54" s="91">
        <f t="shared" si="1"/>
        <v>0.13083908887613549</v>
      </c>
      <c r="V54" s="91">
        <f t="shared" si="2"/>
        <v>0.20170690787644741</v>
      </c>
      <c r="W54" s="91">
        <f t="shared" si="3"/>
        <v>0.19588514525192999</v>
      </c>
      <c r="X54" s="91">
        <f t="shared" si="4"/>
        <v>0.25395224488163487</v>
      </c>
      <c r="Y54" s="91">
        <f t="shared" si="5"/>
        <v>0.28342282539658115</v>
      </c>
    </row>
    <row r="55" spans="1:25" ht="11" thickTop="1" x14ac:dyDescent="0.25"/>
    <row r="56" spans="1:25" x14ac:dyDescent="0.25">
      <c r="A56" s="99" t="s">
        <v>18</v>
      </c>
    </row>
    <row r="57" spans="1:25" x14ac:dyDescent="0.25">
      <c r="A57" s="100" t="s">
        <v>127</v>
      </c>
      <c r="B57" s="33">
        <f>Assumptions!B26</f>
        <v>60000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O57" s="99">
        <f>B57</f>
        <v>60000</v>
      </c>
      <c r="P57" s="33">
        <f>Assumptions!C26</f>
        <v>0</v>
      </c>
      <c r="Q57" s="33">
        <f>Assumptions!D26</f>
        <v>0</v>
      </c>
      <c r="R57" s="33">
        <f>Assumptions!E26</f>
        <v>0</v>
      </c>
      <c r="S57" s="33">
        <f>Assumptions!F26</f>
        <v>0</v>
      </c>
    </row>
    <row r="58" spans="1:25" x14ac:dyDescent="0.25">
      <c r="A58" s="100" t="s">
        <v>171</v>
      </c>
      <c r="B58" s="33">
        <f>Assumptions!B27</f>
        <v>20000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O58" s="99">
        <f>B58</f>
        <v>20000</v>
      </c>
      <c r="P58" s="33">
        <f>Assumptions!C27</f>
        <v>0</v>
      </c>
      <c r="Q58" s="33">
        <f>Assumptions!D27</f>
        <v>0</v>
      </c>
      <c r="R58" s="33">
        <f>Assumptions!E27</f>
        <v>0</v>
      </c>
      <c r="S58" s="33">
        <f>Assumptions!F27</f>
        <v>0</v>
      </c>
    </row>
    <row r="59" spans="1:25" x14ac:dyDescent="0.25">
      <c r="A59" s="100" t="s">
        <v>126</v>
      </c>
      <c r="B59" s="99">
        <f t="shared" ref="B59:M59" si="9">B14</f>
        <v>0</v>
      </c>
      <c r="C59" s="99">
        <f t="shared" si="9"/>
        <v>0</v>
      </c>
      <c r="D59" s="99">
        <f t="shared" si="9"/>
        <v>5381.9999999999991</v>
      </c>
      <c r="E59" s="99">
        <f t="shared" si="9"/>
        <v>8970</v>
      </c>
      <c r="F59" s="99">
        <f t="shared" si="9"/>
        <v>10763.999999999998</v>
      </c>
      <c r="G59" s="99">
        <f t="shared" si="9"/>
        <v>11661</v>
      </c>
      <c r="H59" s="99">
        <f t="shared" si="9"/>
        <v>12558</v>
      </c>
      <c r="I59" s="99">
        <f t="shared" si="9"/>
        <v>14352</v>
      </c>
      <c r="J59" s="99">
        <f t="shared" si="9"/>
        <v>12558</v>
      </c>
      <c r="K59" s="99">
        <f t="shared" si="9"/>
        <v>14352</v>
      </c>
      <c r="L59" s="99">
        <f t="shared" si="9"/>
        <v>14352</v>
      </c>
      <c r="M59" s="99">
        <f t="shared" si="9"/>
        <v>14352</v>
      </c>
      <c r="O59" s="99">
        <f>O14</f>
        <v>119301</v>
      </c>
      <c r="P59" s="99">
        <f>P14</f>
        <v>191007.18000000002</v>
      </c>
      <c r="Q59" s="99">
        <f>Q14</f>
        <v>248309.334</v>
      </c>
      <c r="R59" s="99">
        <f>R14</f>
        <v>273140.26740000007</v>
      </c>
      <c r="S59" s="99">
        <f>S14</f>
        <v>286797.28077000001</v>
      </c>
    </row>
    <row r="60" spans="1:25" s="102" customFormat="1" x14ac:dyDescent="0.25">
      <c r="A60" s="101" t="s">
        <v>125</v>
      </c>
      <c r="B60" s="102">
        <f>B49</f>
        <v>10472.34</v>
      </c>
      <c r="C60" s="102">
        <f>C49</f>
        <v>10723.5</v>
      </c>
      <c r="D60" s="102">
        <f>D49</f>
        <v>10849.08</v>
      </c>
      <c r="E60" s="102">
        <f t="shared" ref="E60:S60" si="10">E49</f>
        <v>10911.87</v>
      </c>
      <c r="F60" s="102">
        <f t="shared" si="10"/>
        <v>10974.66</v>
      </c>
      <c r="G60" s="102">
        <f t="shared" si="10"/>
        <v>11100.240000000002</v>
      </c>
      <c r="H60" s="102">
        <f t="shared" si="10"/>
        <v>10974.66</v>
      </c>
      <c r="I60" s="102">
        <f t="shared" si="10"/>
        <v>11100.240000000002</v>
      </c>
      <c r="J60" s="102">
        <f t="shared" si="10"/>
        <v>11100.240000000002</v>
      </c>
      <c r="K60" s="102">
        <f t="shared" si="10"/>
        <v>11100.240000000002</v>
      </c>
      <c r="L60" s="102">
        <f t="shared" si="10"/>
        <v>11225.82</v>
      </c>
      <c r="M60" s="102">
        <f t="shared" si="10"/>
        <v>11225.82</v>
      </c>
      <c r="N60" s="35"/>
      <c r="O60" s="102">
        <f t="shared" si="10"/>
        <v>131758.71</v>
      </c>
      <c r="P60" s="102">
        <f t="shared" si="10"/>
        <v>169421.9026</v>
      </c>
      <c r="Q60" s="102">
        <f t="shared" si="10"/>
        <v>221854.69338000001</v>
      </c>
      <c r="R60" s="102">
        <f t="shared" si="10"/>
        <v>226417.42591799999</v>
      </c>
      <c r="S60" s="102">
        <f t="shared" si="10"/>
        <v>228347.09459790002</v>
      </c>
    </row>
    <row r="61" spans="1:25" x14ac:dyDescent="0.25">
      <c r="A61" s="99" t="s">
        <v>70</v>
      </c>
      <c r="B61" s="99">
        <f t="shared" ref="B61:M61" si="11">SUM(B57,B59)-SUM(B58,B60)</f>
        <v>29527.66</v>
      </c>
      <c r="C61" s="99">
        <f t="shared" si="11"/>
        <v>-10723.5</v>
      </c>
      <c r="D61" s="99">
        <f t="shared" si="11"/>
        <v>-5467.0800000000008</v>
      </c>
      <c r="E61" s="99">
        <f t="shared" si="11"/>
        <v>-1941.8700000000008</v>
      </c>
      <c r="F61" s="99">
        <f t="shared" si="11"/>
        <v>-210.66000000000167</v>
      </c>
      <c r="G61" s="99">
        <f t="shared" si="11"/>
        <v>560.7599999999984</v>
      </c>
      <c r="H61" s="99">
        <f t="shared" si="11"/>
        <v>1583.3400000000001</v>
      </c>
      <c r="I61" s="99">
        <f t="shared" si="11"/>
        <v>3251.7599999999984</v>
      </c>
      <c r="J61" s="99">
        <f t="shared" si="11"/>
        <v>1457.7599999999984</v>
      </c>
      <c r="K61" s="99">
        <f t="shared" si="11"/>
        <v>3251.7599999999984</v>
      </c>
      <c r="L61" s="99">
        <f t="shared" si="11"/>
        <v>3126.1800000000003</v>
      </c>
      <c r="M61" s="99">
        <f t="shared" si="11"/>
        <v>3126.1800000000003</v>
      </c>
      <c r="N61" s="99"/>
      <c r="O61" s="99">
        <f>SUM(O57,O59)-SUM(O58,O60)</f>
        <v>27542.290000000008</v>
      </c>
      <c r="P61" s="99">
        <f>SUM(P57,P59)-SUM(P58,P60)</f>
        <v>21585.277400000021</v>
      </c>
      <c r="Q61" s="99">
        <f>SUM(Q57,Q59)-SUM(Q58,Q60)</f>
        <v>26454.640619999991</v>
      </c>
      <c r="R61" s="99">
        <f>SUM(R57,R59)-SUM(R58,R60)</f>
        <v>46722.841482000076</v>
      </c>
      <c r="S61" s="99">
        <f>SUM(S57,S59)-SUM(S58,S60)</f>
        <v>58450.186172099988</v>
      </c>
    </row>
    <row r="62" spans="1:25" x14ac:dyDescent="0.25">
      <c r="A62" s="99" t="s">
        <v>71</v>
      </c>
      <c r="B62" s="99">
        <f>B61</f>
        <v>29527.66</v>
      </c>
      <c r="C62" s="99">
        <f>B62+C61</f>
        <v>18804.16</v>
      </c>
      <c r="D62" s="99">
        <f t="shared" ref="D62:M62" si="12">C62+D61</f>
        <v>13337.079999999998</v>
      </c>
      <c r="E62" s="99">
        <f t="shared" si="12"/>
        <v>11395.209999999997</v>
      </c>
      <c r="F62" s="99">
        <f t="shared" si="12"/>
        <v>11184.549999999996</v>
      </c>
      <c r="G62" s="99">
        <f t="shared" si="12"/>
        <v>11745.309999999994</v>
      </c>
      <c r="H62" s="99">
        <f t="shared" si="12"/>
        <v>13328.649999999994</v>
      </c>
      <c r="I62" s="99">
        <f t="shared" si="12"/>
        <v>16580.409999999993</v>
      </c>
      <c r="J62" s="99">
        <f t="shared" si="12"/>
        <v>18038.169999999991</v>
      </c>
      <c r="K62" s="99">
        <f t="shared" si="12"/>
        <v>21289.929999999989</v>
      </c>
      <c r="L62" s="99">
        <f t="shared" si="12"/>
        <v>24416.10999999999</v>
      </c>
      <c r="M62" s="99">
        <f t="shared" si="12"/>
        <v>27542.28999999999</v>
      </c>
      <c r="O62" s="99">
        <f>O61</f>
        <v>27542.290000000008</v>
      </c>
      <c r="P62" s="99">
        <f>O62+P61</f>
        <v>49127.567400000029</v>
      </c>
      <c r="Q62" s="99">
        <f>P62+Q61</f>
        <v>75582.20802000002</v>
      </c>
      <c r="R62" s="99">
        <f>Q62+R61</f>
        <v>122305.0495020001</v>
      </c>
      <c r="S62" s="99">
        <f>R62+S61</f>
        <v>180755.23567410008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796875" defaultRowHeight="10.5" x14ac:dyDescent="0.25"/>
  <cols>
    <col min="1" max="1" width="15.54296875" style="111" bestFit="1" customWidth="1"/>
    <col min="2" max="2" width="7" style="93" bestFit="1" customWidth="1"/>
    <col min="3" max="13" width="7.453125" style="93" bestFit="1" customWidth="1"/>
    <col min="14" max="14" width="2.7265625" style="93" customWidth="1"/>
    <col min="15" max="19" width="7.453125" style="93" bestFit="1" customWidth="1"/>
    <col min="20" max="20" width="9.1796875" style="93"/>
    <col min="21" max="25" width="6.54296875" style="93" bestFit="1" customWidth="1"/>
    <col min="26" max="16384" width="9.1796875" style="93"/>
  </cols>
  <sheetData>
    <row r="1" spans="1:19" s="95" customFormat="1" x14ac:dyDescent="0.25">
      <c r="A1" s="110"/>
      <c r="B1" s="95" t="s">
        <v>4</v>
      </c>
      <c r="C1" s="95" t="s">
        <v>5</v>
      </c>
      <c r="D1" s="95" t="s">
        <v>6</v>
      </c>
      <c r="E1" s="95" t="s">
        <v>7</v>
      </c>
      <c r="F1" s="95" t="s">
        <v>8</v>
      </c>
      <c r="G1" s="95" t="s">
        <v>9</v>
      </c>
      <c r="H1" s="95" t="s">
        <v>10</v>
      </c>
      <c r="I1" s="95" t="s">
        <v>11</v>
      </c>
      <c r="J1" s="95" t="s">
        <v>12</v>
      </c>
      <c r="K1" s="95" t="s">
        <v>13</v>
      </c>
      <c r="L1" s="95" t="s">
        <v>14</v>
      </c>
      <c r="M1" s="95" t="s">
        <v>15</v>
      </c>
      <c r="N1" s="96"/>
      <c r="O1" s="95" t="s">
        <v>23</v>
      </c>
      <c r="P1" s="95" t="s">
        <v>25</v>
      </c>
      <c r="Q1" s="95" t="s">
        <v>27</v>
      </c>
      <c r="R1" s="95" t="s">
        <v>29</v>
      </c>
      <c r="S1" s="95" t="s">
        <v>31</v>
      </c>
    </row>
    <row r="2" spans="1:19" s="113" customFormat="1" x14ac:dyDescent="0.25">
      <c r="A2" s="112" t="s">
        <v>136</v>
      </c>
      <c r="N2" s="114"/>
    </row>
    <row r="3" spans="1:19" x14ac:dyDescent="0.25">
      <c r="A3" s="115" t="s">
        <v>128</v>
      </c>
      <c r="B3" s="93">
        <f>Volume!B5/Assumptions!$I$38</f>
        <v>0.29423076923076924</v>
      </c>
      <c r="C3" s="93">
        <f>Volume!C5/Assumptions!$I$38</f>
        <v>0.49038461538461536</v>
      </c>
      <c r="D3" s="93">
        <f>Volume!D5/Assumptions!$I$38</f>
        <v>0.58846153846153848</v>
      </c>
      <c r="E3" s="93">
        <f>Volume!E5/Assumptions!$I$38</f>
        <v>0.63749999999999996</v>
      </c>
      <c r="F3" s="93">
        <f>Volume!F5/Assumptions!$I$38</f>
        <v>0.68653846153846154</v>
      </c>
      <c r="G3" s="93">
        <f>Volume!G5/Assumptions!$I$38</f>
        <v>0.7846153846153846</v>
      </c>
      <c r="H3" s="93">
        <f>Volume!H5/Assumptions!$I$38</f>
        <v>0.68653846153846154</v>
      </c>
      <c r="I3" s="93">
        <f>Volume!I5/Assumptions!$I$38</f>
        <v>0.7846153846153846</v>
      </c>
      <c r="J3" s="93">
        <f>Volume!J5/Assumptions!$I$38</f>
        <v>0.7846153846153846</v>
      </c>
      <c r="K3" s="93">
        <f>Volume!K5/Assumptions!$I$38</f>
        <v>0.7846153846153846</v>
      </c>
      <c r="L3" s="93">
        <f>Volume!L5/Assumptions!$I$38</f>
        <v>0.88269230769230766</v>
      </c>
      <c r="M3" s="93">
        <f>Volume!M5/Assumptions!$I$38</f>
        <v>0.88269230769230766</v>
      </c>
      <c r="O3" s="93">
        <f>Volume!O5/Assumptions!I37</f>
        <v>0.69062500000000004</v>
      </c>
      <c r="P3" s="93">
        <f>Volume!P5/Assumptions!J37</f>
        <v>0.96687499999999993</v>
      </c>
      <c r="Q3" s="93">
        <f>Volume!Q5/Assumptions!K37</f>
        <v>1.2569374999999998</v>
      </c>
      <c r="R3" s="93">
        <f>Volume!R5/Assumptions!L37</f>
        <v>1.3826312500000002</v>
      </c>
      <c r="S3" s="93">
        <f>Volume!S5/Assumptions!M37</f>
        <v>1.4517628125000002</v>
      </c>
    </row>
    <row r="4" spans="1:19" x14ac:dyDescent="0.25">
      <c r="A4" s="115" t="s">
        <v>21</v>
      </c>
      <c r="B4" s="93">
        <f>Volume!B5/21.33</f>
        <v>2.3909985935302394</v>
      </c>
      <c r="C4" s="93">
        <f>Volume!C5/21.33</f>
        <v>3.9849976558837321</v>
      </c>
      <c r="D4" s="93">
        <f>Volume!D5/21.33</f>
        <v>4.7819971870604787</v>
      </c>
      <c r="E4" s="93">
        <f>Volume!E5/21.33</f>
        <v>5.180496952648852</v>
      </c>
      <c r="F4" s="93">
        <f>Volume!F5/21.33</f>
        <v>5.5789967182372253</v>
      </c>
      <c r="G4" s="93">
        <f>Volume!G5/21.33</f>
        <v>6.375996249413971</v>
      </c>
      <c r="H4" s="93">
        <f>Volume!H5/21.33</f>
        <v>5.5789967182372253</v>
      </c>
      <c r="I4" s="93">
        <f>Volume!I5/21.33</f>
        <v>6.375996249413971</v>
      </c>
      <c r="J4" s="93">
        <f>Volume!J5/21.33</f>
        <v>6.375996249413971</v>
      </c>
      <c r="K4" s="93">
        <f>Volume!K5/21.33</f>
        <v>6.375996249413971</v>
      </c>
      <c r="L4" s="93">
        <f>Volume!L5/21.33</f>
        <v>7.1729957805907176</v>
      </c>
      <c r="M4" s="93">
        <f>Volume!M5/21.33</f>
        <v>7.1729957805907176</v>
      </c>
      <c r="O4" s="93">
        <f>Volume!O5/256</f>
        <v>5.611328125</v>
      </c>
      <c r="P4" s="93">
        <f>Volume!P5/256</f>
        <v>7.8558593749999996</v>
      </c>
      <c r="Q4" s="93">
        <f>Volume!Q5/256</f>
        <v>10.212617187499999</v>
      </c>
      <c r="R4" s="93">
        <f>Volume!R5/256</f>
        <v>11.233878906250002</v>
      </c>
      <c r="S4" s="93">
        <f>Volume!S5/256</f>
        <v>11.7955728515625</v>
      </c>
    </row>
    <row r="5" spans="1:19" x14ac:dyDescent="0.25">
      <c r="A5" s="115" t="s">
        <v>142</v>
      </c>
      <c r="B5" s="93">
        <f>B4/Assumptions!$B$10</f>
        <v>1.9127988748241915</v>
      </c>
      <c r="C5" s="93">
        <f>C4/Assumptions!$B$10</f>
        <v>3.1879981247069855</v>
      </c>
      <c r="D5" s="93">
        <f>D4/Assumptions!$B$10</f>
        <v>3.8255977496483831</v>
      </c>
      <c r="E5" s="93">
        <f>E4/Assumptions!$B$10</f>
        <v>4.1443975621190816</v>
      </c>
      <c r="F5" s="93">
        <f>F4/Assumptions!$B$10</f>
        <v>4.4631973745897806</v>
      </c>
      <c r="G5" s="93">
        <f>G4/Assumptions!$B$10</f>
        <v>5.1007969995311768</v>
      </c>
      <c r="H5" s="93">
        <f>H4/Assumptions!$B$10</f>
        <v>4.4631973745897806</v>
      </c>
      <c r="I5" s="93">
        <f>I4/Assumptions!$B$10</f>
        <v>5.1007969995311768</v>
      </c>
      <c r="J5" s="93">
        <f>J4/Assumptions!$B$10</f>
        <v>5.1007969995311768</v>
      </c>
      <c r="K5" s="93">
        <f>K4/Assumptions!$B$10</f>
        <v>5.1007969995311768</v>
      </c>
      <c r="L5" s="93">
        <f>L4/Assumptions!$B$10</f>
        <v>5.7383966244725739</v>
      </c>
      <c r="M5" s="93">
        <f>M4/Assumptions!$B$10</f>
        <v>5.7383966244725739</v>
      </c>
      <c r="O5" s="93">
        <f>O4/Assumptions!B10</f>
        <v>4.4890625000000002</v>
      </c>
      <c r="P5" s="93">
        <f>P4/Assumptions!C10</f>
        <v>5.2372395833333334</v>
      </c>
      <c r="Q5" s="93">
        <f>Q4/Assumptions!D10</f>
        <v>5.1063085937499997</v>
      </c>
      <c r="R5" s="93">
        <f>R4/Assumptions!E10</f>
        <v>5.616939453125001</v>
      </c>
      <c r="S5" s="93">
        <f>S4/Assumptions!F10</f>
        <v>5.8977864257812502</v>
      </c>
    </row>
    <row r="6" spans="1:19" x14ac:dyDescent="0.25">
      <c r="A6" s="115" t="s">
        <v>135</v>
      </c>
      <c r="B6" s="8">
        <f>(Volume!B5*Assumptions!$I$31)/(Assumptions!$B$10*2080/12)</f>
        <v>0.17653846153846153</v>
      </c>
      <c r="C6" s="8">
        <f>(Volume!C5*Assumptions!$I$31)/(Assumptions!$B$10*2080/12)</f>
        <v>0.29423076923076924</v>
      </c>
      <c r="D6" s="8">
        <f>(Volume!D5*Assumptions!$I$31)/(Assumptions!$B$10*2080/12)</f>
        <v>0.35307692307692307</v>
      </c>
      <c r="E6" s="8">
        <f>(Volume!E5*Assumptions!$I$31)/(Assumptions!$B$10*2080/12)</f>
        <v>0.38250000000000001</v>
      </c>
      <c r="F6" s="8">
        <f>(Volume!F5*Assumptions!$I$31)/(Assumptions!$B$10*2080/12)</f>
        <v>0.41192307692307695</v>
      </c>
      <c r="G6" s="8">
        <f>(Volume!G5*Assumptions!$I$31)/(Assumptions!$B$10*2080/12)</f>
        <v>0.47076923076923077</v>
      </c>
      <c r="H6" s="8">
        <f>(Volume!H5*Assumptions!$I$31)/(Assumptions!$B$10*2080/12)</f>
        <v>0.41192307692307695</v>
      </c>
      <c r="I6" s="8">
        <f>(Volume!I5*Assumptions!$I$31)/(Assumptions!$B$10*2080/12)</f>
        <v>0.47076923076923077</v>
      </c>
      <c r="J6" s="8">
        <f>(Volume!J5*Assumptions!$I$31)/(Assumptions!$B$10*2080/12)</f>
        <v>0.47076923076923077</v>
      </c>
      <c r="K6" s="8">
        <f>(Volume!K5*Assumptions!$I$31)/(Assumptions!$B$10*2080/12)</f>
        <v>0.47076923076923077</v>
      </c>
      <c r="L6" s="8">
        <f>(Volume!L5*Assumptions!$I$31)/(Assumptions!$B$10*2080/12)</f>
        <v>0.5296153846153846</v>
      </c>
      <c r="M6" s="8">
        <f>(Volume!M5*Assumptions!$I$31)/(Assumptions!$B$10*2080/12)</f>
        <v>0.5296153846153846</v>
      </c>
      <c r="O6" s="8">
        <f>(Volume!O5*Assumptions!I31)/(Assumptions!B10*2080)</f>
        <v>0.41437499999999999</v>
      </c>
      <c r="P6" s="8">
        <f>(Volume!P5*Assumptions!J31)/(Assumptions!C10*2080)</f>
        <v>0.48343749999999996</v>
      </c>
      <c r="Q6" s="8">
        <f>(Volume!Q5*Assumptions!K31)/(Assumptions!D10*2080)</f>
        <v>0.47135156249999993</v>
      </c>
      <c r="R6" s="8">
        <f>(Volume!R5*Assumptions!L31)/(Assumptions!E10*2080)</f>
        <v>0.51848671875000019</v>
      </c>
      <c r="S6" s="8">
        <f>(Volume!S5*Assumptions!M31)/(Assumptions!F10*2080)</f>
        <v>0.54441105468750006</v>
      </c>
    </row>
    <row r="7" spans="1:19" x14ac:dyDescent="0.25">
      <c r="A7" s="1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8"/>
      <c r="P7" s="8"/>
      <c r="Q7" s="8"/>
      <c r="R7" s="8"/>
      <c r="S7" s="8"/>
    </row>
    <row r="8" spans="1:19" x14ac:dyDescent="0.25">
      <c r="A8" s="111" t="s">
        <v>39</v>
      </c>
    </row>
    <row r="9" spans="1:19" x14ac:dyDescent="0.25">
      <c r="A9" s="115" t="s">
        <v>129</v>
      </c>
      <c r="B9" s="93">
        <f>Revenue!B8/Volume!B5</f>
        <v>105.52941176470587</v>
      </c>
      <c r="C9" s="93">
        <f>Revenue!C8/Volume!C5</f>
        <v>105.52941176470588</v>
      </c>
      <c r="D9" s="93">
        <f>Revenue!D8/Volume!D5</f>
        <v>105.52941176470587</v>
      </c>
      <c r="E9" s="93">
        <f>Revenue!E8/Volume!E5</f>
        <v>105.52941176470588</v>
      </c>
      <c r="F9" s="93">
        <f>Revenue!F8/Volume!F5</f>
        <v>105.52941176470588</v>
      </c>
      <c r="G9" s="93">
        <f>Revenue!G8/Volume!G5</f>
        <v>105.52941176470588</v>
      </c>
      <c r="H9" s="93">
        <f>Revenue!H8/Volume!H5</f>
        <v>105.52941176470588</v>
      </c>
      <c r="I9" s="93">
        <f>Revenue!I8/Volume!I5</f>
        <v>105.52941176470588</v>
      </c>
      <c r="J9" s="93">
        <f>Revenue!J8/Volume!J5</f>
        <v>105.52941176470588</v>
      </c>
      <c r="K9" s="93">
        <f>Revenue!K8/Volume!K5</f>
        <v>105.52941176470588</v>
      </c>
      <c r="L9" s="93">
        <f>Revenue!L8/Volume!L5</f>
        <v>105.5294117647059</v>
      </c>
      <c r="M9" s="93">
        <f>Revenue!M8/Volume!M5</f>
        <v>105.5294117647059</v>
      </c>
      <c r="O9" s="93">
        <f>Revenue!O8/Volume!O5</f>
        <v>105.52941176470588</v>
      </c>
      <c r="P9" s="93">
        <f>Revenue!P8/Volume!P5</f>
        <v>105.5294117647059</v>
      </c>
      <c r="Q9" s="93">
        <f>Revenue!Q8/Volume!Q5</f>
        <v>105.5294117647059</v>
      </c>
      <c r="R9" s="93">
        <f>Revenue!R8/Volume!R5</f>
        <v>105.52941176470588</v>
      </c>
      <c r="S9" s="93">
        <f>Revenue!S8/Volume!S5</f>
        <v>105.52941176470587</v>
      </c>
    </row>
    <row r="10" spans="1:19" x14ac:dyDescent="0.25">
      <c r="A10" s="115" t="s">
        <v>168</v>
      </c>
      <c r="B10" s="11">
        <f>'P&amp;L'!B13*12/Assumptions!$B$10</f>
        <v>51667.19999999999</v>
      </c>
      <c r="C10" s="11">
        <f>'P&amp;L'!C13*12/Assumptions!$B$10</f>
        <v>86112</v>
      </c>
      <c r="D10" s="11">
        <f>'P&amp;L'!D13*12/Assumptions!$B$10</f>
        <v>103334.39999999998</v>
      </c>
      <c r="E10" s="11">
        <f>'P&amp;L'!E13*12/Assumptions!$B$10</f>
        <v>111945.60000000001</v>
      </c>
      <c r="F10" s="11">
        <f>'P&amp;L'!F13*12/Assumptions!$B$10</f>
        <v>120556.8</v>
      </c>
      <c r="G10" s="11">
        <f>'P&amp;L'!G13*12/Assumptions!$B$10</f>
        <v>137779.20000000001</v>
      </c>
      <c r="H10" s="11">
        <f>'P&amp;L'!H13*12/Assumptions!$B$10</f>
        <v>120556.8</v>
      </c>
      <c r="I10" s="11">
        <f>'P&amp;L'!I13*12/Assumptions!$B$10</f>
        <v>137779.20000000001</v>
      </c>
      <c r="J10" s="11">
        <f>'P&amp;L'!J13*12/Assumptions!$B$10</f>
        <v>137779.20000000001</v>
      </c>
      <c r="K10" s="11">
        <f>'P&amp;L'!K13*12/Assumptions!$B$10</f>
        <v>137779.20000000001</v>
      </c>
      <c r="L10" s="11">
        <f>'P&amp;L'!L13*12/Assumptions!$B$10</f>
        <v>155001.60000000003</v>
      </c>
      <c r="M10" s="11">
        <f>'P&amp;L'!M13*12/Assumptions!$B$10</f>
        <v>155001.60000000003</v>
      </c>
      <c r="N10" s="11"/>
      <c r="O10" s="11">
        <f>'P&amp;L'!O13/Assumptions!B10</f>
        <v>121274.4</v>
      </c>
      <c r="P10" s="11">
        <f>'P&amp;L'!P13/Assumptions!C10</f>
        <v>141486.80000000002</v>
      </c>
      <c r="Q10" s="11">
        <f>'P&amp;L'!Q13/Assumptions!D10</f>
        <v>137949.63</v>
      </c>
      <c r="R10" s="11">
        <f>'P&amp;L'!R13/Assumptions!E10</f>
        <v>151744.59300000002</v>
      </c>
      <c r="S10" s="11">
        <f>'P&amp;L'!S13/Assumptions!F10</f>
        <v>159331.82264999999</v>
      </c>
    </row>
    <row r="11" spans="1:19" x14ac:dyDescent="0.25">
      <c r="A11" s="115" t="s">
        <v>140</v>
      </c>
      <c r="B11" s="93">
        <f>Revenue!B8*12/Assumptions!$I$39</f>
        <v>64.583999999999989</v>
      </c>
      <c r="C11" s="93">
        <f>Revenue!C8*12/Assumptions!$I$39</f>
        <v>107.64</v>
      </c>
      <c r="D11" s="93">
        <f>Revenue!D8*12/Assumptions!$I$39</f>
        <v>129.16799999999998</v>
      </c>
      <c r="E11" s="93">
        <f>Revenue!E8*12/Assumptions!$I$39</f>
        <v>139.93199999999999</v>
      </c>
      <c r="F11" s="93">
        <f>Revenue!F8*12/Assumptions!$I$39</f>
        <v>150.696</v>
      </c>
      <c r="G11" s="93">
        <f>Revenue!G8*12/Assumptions!$I$39</f>
        <v>172.22399999999999</v>
      </c>
      <c r="H11" s="93">
        <f>Revenue!H8*12/Assumptions!$I$39</f>
        <v>150.696</v>
      </c>
      <c r="I11" s="93">
        <f>Revenue!I8*12/Assumptions!$I$39</f>
        <v>172.22399999999999</v>
      </c>
      <c r="J11" s="93">
        <f>Revenue!J8*12/Assumptions!$I$39</f>
        <v>172.22399999999999</v>
      </c>
      <c r="K11" s="93">
        <f>Revenue!K8*12/Assumptions!$I$39</f>
        <v>172.22399999999999</v>
      </c>
      <c r="L11" s="93">
        <f>Revenue!L8*12/Assumptions!$I$39</f>
        <v>193.75200000000004</v>
      </c>
      <c r="M11" s="93">
        <f>Revenue!M8*12/Assumptions!$I$39</f>
        <v>193.75200000000004</v>
      </c>
      <c r="O11" s="93">
        <f>Revenue!O8/Assumptions!I39</f>
        <v>151.59299999999999</v>
      </c>
      <c r="P11" s="93">
        <f>Revenue!P8/Assumptions!J39</f>
        <v>212.23020000000002</v>
      </c>
      <c r="Q11" s="93">
        <f>Revenue!Q8/Assumptions!K39</f>
        <v>275.89926000000003</v>
      </c>
      <c r="R11" s="93">
        <f>Revenue!R8/Assumptions!L39</f>
        <v>202.32612400000002</v>
      </c>
      <c r="S11" s="93">
        <f>Revenue!S8/Assumptions!M39</f>
        <v>212.44243019999999</v>
      </c>
    </row>
    <row r="13" spans="1:19" x14ac:dyDescent="0.25">
      <c r="A13" s="111" t="s">
        <v>54</v>
      </c>
    </row>
    <row r="14" spans="1:19" x14ac:dyDescent="0.25">
      <c r="A14" s="115" t="s">
        <v>130</v>
      </c>
      <c r="B14" s="93">
        <f>Expenses!B18/Volume!B5</f>
        <v>120.10980392156864</v>
      </c>
      <c r="C14" s="93">
        <f>Expenses!C18/Volume!C5</f>
        <v>72.065882352941188</v>
      </c>
      <c r="D14" s="93">
        <f>Expenses!D18/Volume!D5</f>
        <v>60.054901960784321</v>
      </c>
      <c r="E14" s="93">
        <f>Expenses!E18/Volume!E5</f>
        <v>55.435294117647061</v>
      </c>
      <c r="F14" s="93">
        <f>Expenses!F18/Volume!F5</f>
        <v>51.475630252100842</v>
      </c>
      <c r="G14" s="93">
        <f>Expenses!G18/Volume!G5</f>
        <v>45.04117647058824</v>
      </c>
      <c r="H14" s="93">
        <f>Expenses!H18/Volume!H5</f>
        <v>51.475630252100842</v>
      </c>
      <c r="I14" s="93">
        <f>Expenses!I18/Volume!I5</f>
        <v>45.04117647058824</v>
      </c>
      <c r="J14" s="93">
        <f>Expenses!J18/Volume!J5</f>
        <v>45.04117647058824</v>
      </c>
      <c r="K14" s="93">
        <f>Expenses!K18/Volume!K5</f>
        <v>45.04117647058824</v>
      </c>
      <c r="L14" s="93">
        <f>Expenses!L18/Volume!L5</f>
        <v>40.036601307189542</v>
      </c>
      <c r="M14" s="93">
        <f>Expenses!M18/Volume!M5</f>
        <v>40.036601307189542</v>
      </c>
      <c r="O14" s="93">
        <f>Expenses!O18/Volume!O5</f>
        <v>51.171040723981896</v>
      </c>
      <c r="P14" s="93">
        <f>Expenses!P18/Volume!P5</f>
        <v>52.41628959276018</v>
      </c>
      <c r="Q14" s="93">
        <f>Expenses!Q18/Volume!Q5</f>
        <v>57.854905275719759</v>
      </c>
      <c r="R14" s="93">
        <f>Expenses!R18/Volume!R5</f>
        <v>52.595368432472497</v>
      </c>
      <c r="S14" s="93">
        <f>Expenses!S18/Volume!S5</f>
        <v>50.090827078545246</v>
      </c>
    </row>
    <row r="15" spans="1:19" x14ac:dyDescent="0.25">
      <c r="A15" s="115" t="s">
        <v>131</v>
      </c>
      <c r="B15" s="93">
        <f>Expenses!B29/Volume!B5</f>
        <v>19.838039215686276</v>
      </c>
      <c r="C15" s="93">
        <f>Expenses!C29/Volume!C5</f>
        <v>14.857647058823531</v>
      </c>
      <c r="D15" s="93">
        <f>Expenses!D29/Volume!D5</f>
        <v>13.612549019607844</v>
      </c>
      <c r="E15" s="93">
        <f>Expenses!E29/Volume!E5</f>
        <v>13.133665158371041</v>
      </c>
      <c r="F15" s="93">
        <f>Expenses!F29/Volume!F5</f>
        <v>12.723193277310925</v>
      </c>
      <c r="G15" s="93">
        <f>Expenses!G29/Volume!G5</f>
        <v>12.056176470588236</v>
      </c>
      <c r="H15" s="93">
        <f>Expenses!H29/Volume!H5</f>
        <v>12.723193277310925</v>
      </c>
      <c r="I15" s="93">
        <f>Expenses!I29/Volume!I5</f>
        <v>12.056176470588236</v>
      </c>
      <c r="J15" s="93">
        <f>Expenses!J29/Volume!J5</f>
        <v>12.056176470588236</v>
      </c>
      <c r="K15" s="93">
        <f>Expenses!K29/Volume!K5</f>
        <v>12.056176470588236</v>
      </c>
      <c r="L15" s="93">
        <f>Expenses!L29/Volume!L5</f>
        <v>11.537385620915034</v>
      </c>
      <c r="M15" s="93">
        <f>Expenses!M29/Volume!M5</f>
        <v>11.537385620915034</v>
      </c>
      <c r="O15" s="93">
        <f>Expenses!O29/Volume!O5</f>
        <v>12.691618517229378</v>
      </c>
      <c r="P15" s="93">
        <f>Expenses!P29/Volume!P5</f>
        <v>11.574015513897869</v>
      </c>
      <c r="Q15" s="93">
        <f>Expenses!Q29/Volume!Q5</f>
        <v>11.195118392919301</v>
      </c>
      <c r="R15" s="93">
        <f>Expenses!R29/Volume!R5</f>
        <v>11.195118392919298</v>
      </c>
      <c r="S15" s="93">
        <f>Expenses!S29/Volume!S5</f>
        <v>11.195118392919301</v>
      </c>
    </row>
    <row r="16" spans="1:19" s="97" customFormat="1" x14ac:dyDescent="0.25">
      <c r="A16" s="116" t="s">
        <v>132</v>
      </c>
      <c r="B16" s="97">
        <f>Expenses!B44/Volume!B5</f>
        <v>65.392156862745097</v>
      </c>
      <c r="C16" s="97">
        <f>Expenses!C44/Volume!C5</f>
        <v>39.235294117647058</v>
      </c>
      <c r="D16" s="97">
        <f>Expenses!D44/Volume!D5</f>
        <v>32.696078431372548</v>
      </c>
      <c r="E16" s="97">
        <f>Expenses!E44/Volume!E5</f>
        <v>30.180995475113122</v>
      </c>
      <c r="F16" s="97">
        <f>Expenses!F44/Volume!F5</f>
        <v>28.025210084033613</v>
      </c>
      <c r="G16" s="97">
        <f>Expenses!G44/Volume!G5</f>
        <v>24.522058823529413</v>
      </c>
      <c r="H16" s="97">
        <f>Expenses!H44/Volume!H5</f>
        <v>28.025210084033613</v>
      </c>
      <c r="I16" s="97">
        <f>Expenses!I44/Volume!I5</f>
        <v>24.522058823529413</v>
      </c>
      <c r="J16" s="97">
        <f>Expenses!J44/Volume!J5</f>
        <v>24.522058823529413</v>
      </c>
      <c r="K16" s="97">
        <f>Expenses!K44/Volume!K5</f>
        <v>24.522058823529413</v>
      </c>
      <c r="L16" s="97">
        <f>Expenses!L44/Volume!L5</f>
        <v>21.797385620915033</v>
      </c>
      <c r="M16" s="97">
        <f>Expenses!M44/Volume!M5</f>
        <v>21.797385620915033</v>
      </c>
      <c r="O16" s="97">
        <f>Expenses!O44/Volume!O5</f>
        <v>27.85938043856596</v>
      </c>
      <c r="P16" s="97">
        <f>Expenses!P44/Volume!P5</f>
        <v>20.253095320968626</v>
      </c>
      <c r="Q16" s="97">
        <f>Expenses!Q44/Volume!Q5</f>
        <v>15.80774394418669</v>
      </c>
      <c r="R16" s="97">
        <f>Expenses!R44/Volume!R5</f>
        <v>14.939493920628619</v>
      </c>
      <c r="S16" s="97">
        <f>Expenses!S44/Volume!S5</f>
        <v>14.334022248449177</v>
      </c>
    </row>
    <row r="17" spans="1:19" x14ac:dyDescent="0.25">
      <c r="A17" s="111" t="s">
        <v>133</v>
      </c>
      <c r="B17" s="93">
        <f>Expenses!B46/Volume!B5</f>
        <v>205.34</v>
      </c>
      <c r="C17" s="93">
        <f>Expenses!C46/Volume!C5</f>
        <v>126.15882352941176</v>
      </c>
      <c r="D17" s="93">
        <f>Expenses!D46/Volume!D5</f>
        <v>106.3635294117647</v>
      </c>
      <c r="E17" s="93">
        <f>Expenses!E46/Volume!E5</f>
        <v>98.749954751131227</v>
      </c>
      <c r="F17" s="93">
        <f>Expenses!F46/Volume!F5</f>
        <v>92.224033613445371</v>
      </c>
      <c r="G17" s="93">
        <f>Expenses!G46/Volume!G5</f>
        <v>81.619411764705887</v>
      </c>
      <c r="H17" s="93">
        <f>Expenses!H46/Volume!H5</f>
        <v>92.224033613445371</v>
      </c>
      <c r="I17" s="93">
        <f>Expenses!I46/Volume!I5</f>
        <v>81.619411764705887</v>
      </c>
      <c r="J17" s="93">
        <f>Expenses!J46/Volume!J5</f>
        <v>81.619411764705887</v>
      </c>
      <c r="K17" s="93">
        <f>Expenses!K46/Volume!K5</f>
        <v>81.619411764705887</v>
      </c>
      <c r="L17" s="93">
        <f>Expenses!L46/Volume!L5</f>
        <v>73.371372549019611</v>
      </c>
      <c r="M17" s="93">
        <f>Expenses!M46/Volume!M5</f>
        <v>73.371372549019611</v>
      </c>
      <c r="O17" s="93">
        <f>Expenses!O46/Volume!O5</f>
        <v>91.722039679777225</v>
      </c>
      <c r="P17" s="93">
        <f>Expenses!P46/Volume!P5</f>
        <v>84.243400427626682</v>
      </c>
      <c r="Q17" s="93">
        <f>Expenses!Q46/Volume!Q5</f>
        <v>84.857767612825754</v>
      </c>
      <c r="R17" s="93">
        <f>Expenses!R46/Volume!R5</f>
        <v>78.729980746020416</v>
      </c>
      <c r="S17" s="93">
        <f>Expenses!S46/Volume!S5</f>
        <v>75.619967719913731</v>
      </c>
    </row>
    <row r="19" spans="1:19" x14ac:dyDescent="0.25">
      <c r="A19" s="111" t="s">
        <v>137</v>
      </c>
    </row>
    <row r="20" spans="1:19" x14ac:dyDescent="0.25">
      <c r="A20" s="115" t="s">
        <v>134</v>
      </c>
      <c r="B20" s="117">
        <f>'P&amp;L'!B51/Volume!B5</f>
        <v>-99.810588235294134</v>
      </c>
      <c r="C20" s="117">
        <f>'P&amp;L'!C51/Volume!C5</f>
        <v>-20.629411764705882</v>
      </c>
      <c r="D20" s="117">
        <f>'P&amp;L'!D51/Volume!D5</f>
        <v>-0.83411764705884062</v>
      </c>
      <c r="E20" s="117">
        <f>'P&amp;L'!E51/Volume!E5</f>
        <v>6.7794570135746532</v>
      </c>
      <c r="F20" s="117">
        <f>'P&amp;L'!F51/Volume!F5</f>
        <v>13.305378151260506</v>
      </c>
      <c r="G20" s="117">
        <f>'P&amp;L'!G51/Volume!G5</f>
        <v>23.909999999999989</v>
      </c>
      <c r="H20" s="117">
        <f>'P&amp;L'!H51/Volume!H5</f>
        <v>13.305378151260506</v>
      </c>
      <c r="I20" s="117">
        <f>'P&amp;L'!I51/Volume!I5</f>
        <v>23.909999999999989</v>
      </c>
      <c r="J20" s="117">
        <f>'P&amp;L'!J51/Volume!J5</f>
        <v>23.909999999999989</v>
      </c>
      <c r="K20" s="117">
        <f>'P&amp;L'!K51/Volume!K5</f>
        <v>23.909999999999989</v>
      </c>
      <c r="L20" s="117">
        <f>'P&amp;L'!L51/Volume!L5</f>
        <v>32.158039215686287</v>
      </c>
      <c r="M20" s="117">
        <f>'P&amp;L'!M51/Volume!M5</f>
        <v>32.158039215686287</v>
      </c>
      <c r="N20" s="117"/>
      <c r="O20" s="117">
        <f>'P&amp;L'!O51/Volume!O5</f>
        <v>13.807372084928652</v>
      </c>
      <c r="P20" s="117">
        <f>'P&amp;L'!P51/Volume!P5</f>
        <v>21.286011337079216</v>
      </c>
      <c r="Q20" s="117">
        <f>'P&amp;L'!Q51/Volume!Q5</f>
        <v>20.671644151880141</v>
      </c>
      <c r="R20" s="117">
        <f>'P&amp;L'!R51/Volume!R5</f>
        <v>26.799431018685471</v>
      </c>
      <c r="S20" s="117">
        <f>'P&amp;L'!S51/Volume!S5</f>
        <v>29.909444044792146</v>
      </c>
    </row>
    <row r="22" spans="1:1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O22" s="8"/>
      <c r="P22" s="8"/>
      <c r="Q22" s="8"/>
      <c r="R22" s="8"/>
      <c r="S2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33"/>
  <sheetViews>
    <sheetView zoomScaleNormal="100" workbookViewId="0"/>
  </sheetViews>
  <sheetFormatPr defaultColWidth="9.1796875" defaultRowHeight="10.5" x14ac:dyDescent="0.25"/>
  <cols>
    <col min="1" max="1" width="10.54296875" style="2" bestFit="1" customWidth="1"/>
    <col min="2" max="9" width="9.1796875" style="2"/>
    <col min="10" max="10" width="2.7265625" style="2" customWidth="1"/>
    <col min="11" max="11" width="8.7265625" style="2" bestFit="1" customWidth="1"/>
    <col min="12" max="16384" width="9.1796875" style="2"/>
  </cols>
  <sheetData>
    <row r="2" spans="1:16" x14ac:dyDescent="0.25">
      <c r="A2" s="2" t="s">
        <v>104</v>
      </c>
      <c r="B2" s="62" t="s">
        <v>150</v>
      </c>
      <c r="C2" s="62" t="s">
        <v>162</v>
      </c>
      <c r="D2" s="62" t="s">
        <v>163</v>
      </c>
      <c r="E2" s="62" t="s">
        <v>164</v>
      </c>
      <c r="F2" s="62" t="s">
        <v>165</v>
      </c>
      <c r="G2" s="62" t="s">
        <v>166</v>
      </c>
      <c r="H2" s="62" t="s">
        <v>206</v>
      </c>
      <c r="I2" s="62" t="s">
        <v>207</v>
      </c>
      <c r="J2" s="62"/>
      <c r="K2" s="62" t="s">
        <v>208</v>
      </c>
      <c r="L2" s="62" t="s">
        <v>210</v>
      </c>
      <c r="M2" s="62" t="s">
        <v>211</v>
      </c>
      <c r="N2" s="62" t="s">
        <v>212</v>
      </c>
      <c r="O2" s="62" t="s">
        <v>213</v>
      </c>
    </row>
    <row r="3" spans="1:16" x14ac:dyDescent="0.25">
      <c r="A3" s="2" t="s">
        <v>216</v>
      </c>
      <c r="B3" s="67">
        <v>20</v>
      </c>
      <c r="C3" s="67">
        <v>1</v>
      </c>
      <c r="D3" s="67">
        <v>1</v>
      </c>
      <c r="E3" s="67">
        <v>1</v>
      </c>
      <c r="F3" s="67">
        <v>1</v>
      </c>
      <c r="G3" s="67">
        <v>1</v>
      </c>
      <c r="H3" s="11">
        <f>I3/12</f>
        <v>3466.6666666666665</v>
      </c>
      <c r="I3" s="11">
        <f>B3*2080*C3</f>
        <v>41600</v>
      </c>
      <c r="K3" s="11">
        <f t="shared" ref="K3:O5" si="0">$B3*C3*2080</f>
        <v>41600</v>
      </c>
      <c r="L3" s="11">
        <f t="shared" si="0"/>
        <v>41600</v>
      </c>
      <c r="M3" s="11">
        <f t="shared" si="0"/>
        <v>41600</v>
      </c>
      <c r="N3" s="11">
        <f t="shared" si="0"/>
        <v>41600</v>
      </c>
      <c r="O3" s="11">
        <f t="shared" si="0"/>
        <v>41600</v>
      </c>
    </row>
    <row r="4" spans="1:16" x14ac:dyDescent="0.25">
      <c r="A4" s="2" t="s">
        <v>217</v>
      </c>
      <c r="B4" s="67">
        <v>30</v>
      </c>
      <c r="C4" s="67">
        <v>0.25</v>
      </c>
      <c r="D4" s="67">
        <v>0.5</v>
      </c>
      <c r="E4" s="67">
        <v>1</v>
      </c>
      <c r="F4" s="67">
        <v>1</v>
      </c>
      <c r="G4" s="67">
        <v>1</v>
      </c>
      <c r="H4" s="11">
        <f>I4/12</f>
        <v>5200</v>
      </c>
      <c r="I4" s="11">
        <f>B4*2080</f>
        <v>62400</v>
      </c>
      <c r="K4" s="11">
        <f t="shared" si="0"/>
        <v>15600</v>
      </c>
      <c r="L4" s="11">
        <f t="shared" si="0"/>
        <v>31200</v>
      </c>
      <c r="M4" s="11">
        <f t="shared" si="0"/>
        <v>62400</v>
      </c>
      <c r="N4" s="11">
        <f t="shared" si="0"/>
        <v>62400</v>
      </c>
      <c r="O4" s="11">
        <f t="shared" si="0"/>
        <v>62400</v>
      </c>
    </row>
    <row r="5" spans="1:16" x14ac:dyDescent="0.25">
      <c r="A5" s="2" t="s">
        <v>218</v>
      </c>
      <c r="B5" s="67">
        <v>35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11">
        <f>I5/12</f>
        <v>6066.666666666667</v>
      </c>
      <c r="I5" s="11">
        <f>B5*2080</f>
        <v>72800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2"/>
    </row>
    <row r="6" spans="1:16" x14ac:dyDescent="0.25">
      <c r="B6" s="68"/>
      <c r="C6" s="68"/>
      <c r="D6" s="68"/>
      <c r="E6" s="68"/>
      <c r="F6" s="68"/>
      <c r="G6" s="68"/>
      <c r="H6" s="11"/>
      <c r="I6" s="11"/>
      <c r="K6" s="11"/>
      <c r="L6" s="11"/>
      <c r="M6" s="11"/>
      <c r="N6" s="11"/>
      <c r="O6" s="11"/>
    </row>
    <row r="7" spans="1:16" x14ac:dyDescent="0.25">
      <c r="A7" s="2" t="s">
        <v>144</v>
      </c>
      <c r="B7" s="67"/>
      <c r="C7" s="67"/>
      <c r="D7" s="67"/>
      <c r="E7" s="67"/>
      <c r="F7" s="67"/>
      <c r="G7" s="67"/>
      <c r="H7" s="11">
        <f>I7/12</f>
        <v>0</v>
      </c>
      <c r="I7" s="11">
        <f>B7*2080*C7</f>
        <v>0</v>
      </c>
      <c r="K7" s="11">
        <f t="shared" ref="K7:O9" si="1">$B7*C7*2080</f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</row>
    <row r="8" spans="1:16" x14ac:dyDescent="0.25">
      <c r="A8" s="2" t="s">
        <v>145</v>
      </c>
      <c r="B8" s="67"/>
      <c r="C8" s="67"/>
      <c r="D8" s="67"/>
      <c r="E8" s="67"/>
      <c r="F8" s="67"/>
      <c r="G8" s="67"/>
      <c r="H8" s="11">
        <f>I8/12</f>
        <v>0</v>
      </c>
      <c r="I8" s="11">
        <f>B8*2080</f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</row>
    <row r="9" spans="1:16" x14ac:dyDescent="0.25">
      <c r="A9" s="2" t="s">
        <v>146</v>
      </c>
      <c r="B9" s="67"/>
      <c r="C9" s="67"/>
      <c r="D9" s="67"/>
      <c r="E9" s="67"/>
      <c r="F9" s="67"/>
      <c r="G9" s="67"/>
      <c r="H9" s="11">
        <f>I9/12</f>
        <v>0</v>
      </c>
      <c r="I9" s="11">
        <f>B9*2080</f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  <c r="O9" s="11">
        <f t="shared" si="1"/>
        <v>0</v>
      </c>
    </row>
    <row r="10" spans="1:16" x14ac:dyDescent="0.25">
      <c r="B10" s="68"/>
      <c r="C10" s="68"/>
      <c r="D10" s="68"/>
      <c r="E10" s="68"/>
      <c r="F10" s="68"/>
      <c r="G10" s="68"/>
      <c r="H10" s="11"/>
      <c r="I10" s="11"/>
      <c r="K10" s="11"/>
      <c r="L10" s="11"/>
      <c r="M10" s="11"/>
      <c r="N10" s="11"/>
      <c r="O10" s="11"/>
    </row>
    <row r="11" spans="1:16" x14ac:dyDescent="0.25">
      <c r="A11" s="2" t="s">
        <v>147</v>
      </c>
      <c r="B11" s="67"/>
      <c r="C11" s="67"/>
      <c r="D11" s="67"/>
      <c r="E11" s="67"/>
      <c r="F11" s="67"/>
      <c r="G11" s="67"/>
      <c r="H11" s="11">
        <f>I11/12</f>
        <v>0</v>
      </c>
      <c r="I11" s="11">
        <f>B11*2080*C11</f>
        <v>0</v>
      </c>
      <c r="K11" s="11">
        <f t="shared" ref="K11:O13" si="2">$B11*C11*2080</f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</row>
    <row r="12" spans="1:16" x14ac:dyDescent="0.25">
      <c r="A12" s="2" t="s">
        <v>148</v>
      </c>
      <c r="B12" s="67"/>
      <c r="C12" s="67"/>
      <c r="D12" s="67"/>
      <c r="E12" s="67"/>
      <c r="F12" s="67"/>
      <c r="G12" s="67"/>
      <c r="H12" s="11">
        <f>I12/12</f>
        <v>0</v>
      </c>
      <c r="I12" s="11">
        <f>B12*2080</f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</row>
    <row r="13" spans="1:16" x14ac:dyDescent="0.25">
      <c r="A13" s="2" t="s">
        <v>149</v>
      </c>
      <c r="B13" s="67"/>
      <c r="C13" s="67"/>
      <c r="D13" s="67"/>
      <c r="E13" s="67"/>
      <c r="F13" s="67"/>
      <c r="G13" s="67"/>
      <c r="H13" s="11">
        <f>I13/12</f>
        <v>0</v>
      </c>
      <c r="I13" s="11">
        <f>B13*2080</f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</row>
    <row r="14" spans="1:16" s="26" customFormat="1" x14ac:dyDescent="0.25">
      <c r="C14" s="129"/>
      <c r="D14" s="129"/>
      <c r="E14" s="129"/>
      <c r="F14" s="129"/>
      <c r="G14" s="129"/>
      <c r="H14" s="81"/>
      <c r="I14" s="81"/>
      <c r="K14" s="147"/>
      <c r="L14" s="147"/>
      <c r="M14" s="147"/>
      <c r="N14" s="147"/>
      <c r="O14" s="147"/>
    </row>
    <row r="15" spans="1:16" s="26" customFormat="1" x14ac:dyDescent="0.25">
      <c r="A15" s="26" t="s">
        <v>173</v>
      </c>
      <c r="C15" s="129">
        <f>SUM(C3:C13)</f>
        <v>1.25</v>
      </c>
      <c r="D15" s="129">
        <f>SUM(D3:D13)</f>
        <v>1.5</v>
      </c>
      <c r="E15" s="129">
        <f>SUM(E3:E13)</f>
        <v>2</v>
      </c>
      <c r="F15" s="129">
        <f>SUM(F3:F13)</f>
        <v>2</v>
      </c>
      <c r="G15" s="129">
        <f>SUM(G3:G13)</f>
        <v>2</v>
      </c>
      <c r="H15" s="81"/>
      <c r="I15" s="81"/>
      <c r="J15" s="81"/>
      <c r="K15" s="81">
        <f>SUM(K3:K13)</f>
        <v>57200</v>
      </c>
      <c r="L15" s="81">
        <f>SUM(L3:L13)</f>
        <v>72800</v>
      </c>
      <c r="M15" s="81">
        <f>SUM(M3:M13)</f>
        <v>104000</v>
      </c>
      <c r="N15" s="81">
        <f>SUM(N3:N13)</f>
        <v>104000</v>
      </c>
      <c r="O15" s="81">
        <f>SUM(O3:O13)</f>
        <v>104000</v>
      </c>
    </row>
    <row r="17" spans="1:15" x14ac:dyDescent="0.25">
      <c r="A17" s="2" t="s">
        <v>135</v>
      </c>
      <c r="C17" s="8">
        <f>Metrics!O6</f>
        <v>0.41437499999999999</v>
      </c>
      <c r="D17" s="8">
        <f>Metrics!P6</f>
        <v>0.48343749999999996</v>
      </c>
      <c r="E17" s="8">
        <f>Metrics!Q6</f>
        <v>0.47135156249999993</v>
      </c>
      <c r="F17" s="8">
        <f>Metrics!R6</f>
        <v>0.51848671875000019</v>
      </c>
      <c r="G17" s="8">
        <f>Metrics!S6</f>
        <v>0.54441105468750006</v>
      </c>
    </row>
    <row r="19" spans="1:15" x14ac:dyDescent="0.25">
      <c r="A19" s="2" t="s">
        <v>153</v>
      </c>
      <c r="B19" s="138" t="s">
        <v>150</v>
      </c>
      <c r="C19" s="62" t="s">
        <v>162</v>
      </c>
      <c r="D19" s="62" t="s">
        <v>163</v>
      </c>
      <c r="E19" s="62" t="s">
        <v>164</v>
      </c>
      <c r="F19" s="62" t="s">
        <v>165</v>
      </c>
      <c r="G19" s="62" t="s">
        <v>166</v>
      </c>
      <c r="H19" s="62" t="s">
        <v>151</v>
      </c>
      <c r="I19" s="62" t="s">
        <v>152</v>
      </c>
      <c r="J19" s="62"/>
      <c r="K19" s="62" t="s">
        <v>208</v>
      </c>
      <c r="L19" s="62" t="s">
        <v>210</v>
      </c>
      <c r="M19" s="62" t="s">
        <v>211</v>
      </c>
      <c r="N19" s="62" t="s">
        <v>212</v>
      </c>
      <c r="O19" s="62" t="s">
        <v>213</v>
      </c>
    </row>
    <row r="20" spans="1:15" x14ac:dyDescent="0.25">
      <c r="A20" s="2" t="s">
        <v>154</v>
      </c>
      <c r="B20" s="67"/>
      <c r="C20" s="67"/>
      <c r="D20" s="67"/>
      <c r="E20" s="67"/>
      <c r="F20" s="67"/>
      <c r="G20" s="67"/>
      <c r="H20" s="11">
        <f>I20/12</f>
        <v>0</v>
      </c>
      <c r="I20" s="11">
        <f>B20*2080*C20</f>
        <v>0</v>
      </c>
      <c r="K20" s="11">
        <f t="shared" ref="K20:O22" si="3">$B20*C20*2080</f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</row>
    <row r="21" spans="1:15" x14ac:dyDescent="0.25">
      <c r="A21" s="2" t="s">
        <v>155</v>
      </c>
      <c r="B21" s="67"/>
      <c r="C21" s="67"/>
      <c r="D21" s="67"/>
      <c r="E21" s="67"/>
      <c r="F21" s="67"/>
      <c r="G21" s="67"/>
      <c r="H21" s="11">
        <f>I21/12</f>
        <v>0</v>
      </c>
      <c r="I21" s="11">
        <f>B21*2080</f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</row>
    <row r="22" spans="1:15" x14ac:dyDescent="0.25">
      <c r="A22" s="2" t="s">
        <v>167</v>
      </c>
      <c r="B22" s="67"/>
      <c r="C22" s="67"/>
      <c r="D22" s="67"/>
      <c r="E22" s="67"/>
      <c r="F22" s="67"/>
      <c r="G22" s="67"/>
      <c r="H22" s="11">
        <f>I22/12</f>
        <v>0</v>
      </c>
      <c r="I22" s="11">
        <f>B22*2080</f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</row>
    <row r="23" spans="1:15" x14ac:dyDescent="0.25">
      <c r="B23" s="68"/>
      <c r="C23" s="68"/>
      <c r="D23" s="68"/>
      <c r="E23" s="68"/>
      <c r="F23" s="68"/>
      <c r="G23" s="68"/>
      <c r="H23" s="11"/>
      <c r="I23" s="11"/>
      <c r="K23" s="11"/>
      <c r="L23" s="11"/>
      <c r="M23" s="11"/>
      <c r="N23" s="11"/>
      <c r="O23" s="11"/>
    </row>
    <row r="24" spans="1:15" x14ac:dyDescent="0.25">
      <c r="A24" s="2" t="s">
        <v>156</v>
      </c>
      <c r="B24" s="67">
        <v>14</v>
      </c>
      <c r="C24" s="67">
        <v>0.5</v>
      </c>
      <c r="D24" s="67">
        <v>1</v>
      </c>
      <c r="E24" s="67">
        <v>1</v>
      </c>
      <c r="F24" s="67">
        <v>1</v>
      </c>
      <c r="G24" s="67">
        <v>1</v>
      </c>
      <c r="H24" s="11">
        <f>I24/12</f>
        <v>1213.3333333333333</v>
      </c>
      <c r="I24" s="11">
        <f>B24*2080*C24</f>
        <v>14560</v>
      </c>
      <c r="K24" s="11">
        <f t="shared" ref="K24:O26" si="4">$B24*C24*2080</f>
        <v>14560</v>
      </c>
      <c r="L24" s="11">
        <f t="shared" si="4"/>
        <v>29120</v>
      </c>
      <c r="M24" s="11">
        <f t="shared" si="4"/>
        <v>29120</v>
      </c>
      <c r="N24" s="11">
        <f t="shared" si="4"/>
        <v>29120</v>
      </c>
      <c r="O24" s="11">
        <f t="shared" si="4"/>
        <v>29120</v>
      </c>
    </row>
    <row r="25" spans="1:15" x14ac:dyDescent="0.25">
      <c r="A25" s="2" t="s">
        <v>157</v>
      </c>
      <c r="B25" s="67"/>
      <c r="C25" s="67"/>
      <c r="D25" s="67"/>
      <c r="E25" s="67"/>
      <c r="F25" s="67"/>
      <c r="G25" s="67"/>
      <c r="H25" s="11">
        <f>I25/12</f>
        <v>0</v>
      </c>
      <c r="I25" s="11">
        <f>B25*2080</f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0</v>
      </c>
    </row>
    <row r="26" spans="1:15" x14ac:dyDescent="0.25">
      <c r="A26" s="2" t="s">
        <v>158</v>
      </c>
      <c r="B26" s="67"/>
      <c r="C26" s="67"/>
      <c r="D26" s="67"/>
      <c r="E26" s="67"/>
      <c r="F26" s="67"/>
      <c r="G26" s="67"/>
      <c r="H26" s="11">
        <f>I26/12</f>
        <v>0</v>
      </c>
      <c r="I26" s="11">
        <f>B26*2080</f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</row>
    <row r="27" spans="1:15" x14ac:dyDescent="0.25">
      <c r="B27" s="68"/>
      <c r="C27" s="68"/>
      <c r="D27" s="68"/>
      <c r="E27" s="68"/>
      <c r="F27" s="68"/>
      <c r="G27" s="68"/>
      <c r="H27" s="11"/>
      <c r="I27" s="11"/>
      <c r="K27" s="11"/>
      <c r="L27" s="11"/>
      <c r="M27" s="11"/>
      <c r="N27" s="11"/>
      <c r="O27" s="11"/>
    </row>
    <row r="28" spans="1:15" x14ac:dyDescent="0.25">
      <c r="A28" s="2" t="s">
        <v>159</v>
      </c>
      <c r="B28" s="67"/>
      <c r="C28" s="67"/>
      <c r="D28" s="67"/>
      <c r="E28" s="67"/>
      <c r="F28" s="67"/>
      <c r="G28" s="67"/>
      <c r="H28" s="11">
        <f>I28/12</f>
        <v>0</v>
      </c>
      <c r="I28" s="11">
        <f>B28*2080*C28</f>
        <v>0</v>
      </c>
      <c r="K28" s="11">
        <f t="shared" ref="K28:O30" si="5">$B28*C28*2080</f>
        <v>0</v>
      </c>
      <c r="L28" s="11">
        <f t="shared" si="5"/>
        <v>0</v>
      </c>
      <c r="M28" s="11">
        <f t="shared" si="5"/>
        <v>0</v>
      </c>
      <c r="N28" s="11">
        <f t="shared" si="5"/>
        <v>0</v>
      </c>
      <c r="O28" s="11">
        <f t="shared" si="5"/>
        <v>0</v>
      </c>
    </row>
    <row r="29" spans="1:15" x14ac:dyDescent="0.25">
      <c r="A29" s="2" t="s">
        <v>160</v>
      </c>
      <c r="B29" s="67"/>
      <c r="C29" s="67"/>
      <c r="D29" s="67"/>
      <c r="E29" s="67"/>
      <c r="F29" s="67"/>
      <c r="G29" s="67"/>
      <c r="H29" s="11">
        <f>I29/12</f>
        <v>0</v>
      </c>
      <c r="I29" s="11">
        <f>B29*2080</f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  <c r="O29" s="11">
        <f t="shared" si="5"/>
        <v>0</v>
      </c>
    </row>
    <row r="30" spans="1:15" x14ac:dyDescent="0.25">
      <c r="A30" s="2" t="s">
        <v>161</v>
      </c>
      <c r="B30" s="67"/>
      <c r="C30" s="67"/>
      <c r="D30" s="67"/>
      <c r="E30" s="67"/>
      <c r="F30" s="67"/>
      <c r="G30" s="67"/>
      <c r="H30" s="11">
        <f>I30/12</f>
        <v>0</v>
      </c>
      <c r="I30" s="11">
        <f>B30*2080</f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</row>
    <row r="31" spans="1:15" x14ac:dyDescent="0.25">
      <c r="H31" s="81"/>
      <c r="I31" s="81"/>
      <c r="J31" s="26"/>
      <c r="K31" s="147"/>
      <c r="L31" s="147"/>
      <c r="M31" s="147"/>
      <c r="N31" s="147"/>
      <c r="O31" s="147"/>
    </row>
    <row r="32" spans="1:15" x14ac:dyDescent="0.25">
      <c r="A32" s="26" t="s">
        <v>173</v>
      </c>
      <c r="B32" s="26"/>
      <c r="C32" s="129">
        <f>SUM(C19:C30)</f>
        <v>0.5</v>
      </c>
      <c r="D32" s="129">
        <f>SUM(D19:D30)</f>
        <v>1</v>
      </c>
      <c r="E32" s="129">
        <f>SUM(E19:E30)</f>
        <v>1</v>
      </c>
      <c r="F32" s="129">
        <f>SUM(F19:F30)</f>
        <v>1</v>
      </c>
      <c r="G32" s="129">
        <f>SUM(G19:G30)</f>
        <v>1</v>
      </c>
      <c r="H32" s="81"/>
      <c r="I32" s="81"/>
      <c r="J32" s="81"/>
      <c r="K32" s="81">
        <f>SUM(K20:K30)</f>
        <v>14560</v>
      </c>
      <c r="L32" s="81">
        <f>SUM(L20:L30)</f>
        <v>29120</v>
      </c>
      <c r="M32" s="81">
        <f>SUM(M20:M30)</f>
        <v>29120</v>
      </c>
      <c r="N32" s="81">
        <f>SUM(N20:N30)</f>
        <v>29120</v>
      </c>
      <c r="O32" s="81">
        <f>SUM(O20:O30)</f>
        <v>29120</v>
      </c>
    </row>
    <row r="33" spans="8:15" x14ac:dyDescent="0.25">
      <c r="H33" s="81"/>
      <c r="I33" s="81"/>
      <c r="J33" s="26"/>
      <c r="K33" s="26"/>
      <c r="L33" s="26"/>
      <c r="M33" s="26"/>
      <c r="N33" s="26"/>
      <c r="O33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0"/>
  <sheetViews>
    <sheetView workbookViewId="0"/>
  </sheetViews>
  <sheetFormatPr defaultColWidth="9.1796875" defaultRowHeight="10.5" x14ac:dyDescent="0.25"/>
  <cols>
    <col min="1" max="1" width="20.1796875" style="2" customWidth="1"/>
    <col min="2" max="2" width="9.1796875" style="11"/>
    <col min="3" max="16384" width="9.1796875" style="2"/>
  </cols>
  <sheetData>
    <row r="1" spans="1:2" x14ac:dyDescent="0.25">
      <c r="A1" s="1" t="s">
        <v>169</v>
      </c>
    </row>
    <row r="2" spans="1:2" x14ac:dyDescent="0.25">
      <c r="A2" s="92" t="s">
        <v>204</v>
      </c>
      <c r="B2" s="81"/>
    </row>
    <row r="3" spans="1:2" x14ac:dyDescent="0.25">
      <c r="A3" s="94" t="s">
        <v>172</v>
      </c>
      <c r="B3" s="6">
        <v>500</v>
      </c>
    </row>
    <row r="4" spans="1:2" x14ac:dyDescent="0.25">
      <c r="A4" s="94" t="s">
        <v>172</v>
      </c>
      <c r="B4" s="6">
        <v>1000</v>
      </c>
    </row>
    <row r="5" spans="1:2" x14ac:dyDescent="0.25">
      <c r="A5" s="94" t="s">
        <v>172</v>
      </c>
      <c r="B5" s="6">
        <v>500</v>
      </c>
    </row>
    <row r="6" spans="1:2" x14ac:dyDescent="0.25">
      <c r="A6" s="94" t="s">
        <v>172</v>
      </c>
      <c r="B6" s="6">
        <v>500</v>
      </c>
    </row>
    <row r="7" spans="1:2" x14ac:dyDescent="0.25">
      <c r="A7" s="94" t="s">
        <v>172</v>
      </c>
      <c r="B7" s="6">
        <v>500</v>
      </c>
    </row>
    <row r="8" spans="1:2" x14ac:dyDescent="0.25">
      <c r="A8" s="94" t="s">
        <v>172</v>
      </c>
      <c r="B8" s="6">
        <v>500</v>
      </c>
    </row>
    <row r="9" spans="1:2" x14ac:dyDescent="0.25">
      <c r="A9" s="94" t="s">
        <v>172</v>
      </c>
      <c r="B9" s="6"/>
    </row>
    <row r="10" spans="1:2" x14ac:dyDescent="0.25">
      <c r="A10" s="94" t="s">
        <v>172</v>
      </c>
      <c r="B10" s="6"/>
    </row>
    <row r="11" spans="1:2" x14ac:dyDescent="0.25">
      <c r="A11" s="94" t="s">
        <v>172</v>
      </c>
      <c r="B11" s="6"/>
    </row>
    <row r="12" spans="1:2" x14ac:dyDescent="0.25">
      <c r="A12" s="94" t="s">
        <v>172</v>
      </c>
      <c r="B12" s="6"/>
    </row>
    <row r="13" spans="1:2" x14ac:dyDescent="0.25">
      <c r="A13" s="94" t="s">
        <v>172</v>
      </c>
      <c r="B13" s="6"/>
    </row>
    <row r="14" spans="1:2" x14ac:dyDescent="0.25">
      <c r="A14" s="94" t="s">
        <v>172</v>
      </c>
      <c r="B14" s="6"/>
    </row>
    <row r="15" spans="1:2" x14ac:dyDescent="0.25">
      <c r="A15" s="94" t="s">
        <v>172</v>
      </c>
      <c r="B15" s="6"/>
    </row>
    <row r="16" spans="1:2" x14ac:dyDescent="0.25">
      <c r="A16" s="94" t="s">
        <v>172</v>
      </c>
      <c r="B16" s="6"/>
    </row>
    <row r="17" spans="1:2" s="3" customFormat="1" x14ac:dyDescent="0.25">
      <c r="A17" s="107" t="s">
        <v>172</v>
      </c>
      <c r="B17" s="89"/>
    </row>
    <row r="18" spans="1:2" x14ac:dyDescent="0.25">
      <c r="A18" s="2" t="s">
        <v>173</v>
      </c>
      <c r="B18" s="11">
        <f>SUM(B2:B17)</f>
        <v>3500</v>
      </c>
    </row>
    <row r="20" spans="1:2" x14ac:dyDescent="0.25">
      <c r="A20" s="92" t="s">
        <v>35</v>
      </c>
      <c r="B20" s="81"/>
    </row>
    <row r="21" spans="1:2" x14ac:dyDescent="0.25">
      <c r="A21" s="94" t="s">
        <v>172</v>
      </c>
      <c r="B21" s="6">
        <v>5000</v>
      </c>
    </row>
    <row r="22" spans="1:2" x14ac:dyDescent="0.25">
      <c r="A22" s="94" t="s">
        <v>172</v>
      </c>
      <c r="B22" s="6">
        <v>2000</v>
      </c>
    </row>
    <row r="23" spans="1:2" x14ac:dyDescent="0.25">
      <c r="A23" s="94" t="s">
        <v>172</v>
      </c>
      <c r="B23" s="6">
        <v>1000</v>
      </c>
    </row>
    <row r="24" spans="1:2" x14ac:dyDescent="0.25">
      <c r="A24" s="94" t="s">
        <v>172</v>
      </c>
      <c r="B24" s="6"/>
    </row>
    <row r="25" spans="1:2" x14ac:dyDescent="0.25">
      <c r="A25" s="94" t="s">
        <v>172</v>
      </c>
      <c r="B25" s="6"/>
    </row>
    <row r="26" spans="1:2" x14ac:dyDescent="0.25">
      <c r="A26" s="94" t="s">
        <v>172</v>
      </c>
      <c r="B26" s="6"/>
    </row>
    <row r="27" spans="1:2" s="3" customFormat="1" x14ac:dyDescent="0.25">
      <c r="A27" s="107" t="s">
        <v>172</v>
      </c>
      <c r="B27" s="89"/>
    </row>
    <row r="28" spans="1:2" x14ac:dyDescent="0.25">
      <c r="A28" s="2" t="s">
        <v>173</v>
      </c>
      <c r="B28" s="11">
        <f>SUM(B20:B27)</f>
        <v>8000</v>
      </c>
    </row>
    <row r="30" spans="1:2" x14ac:dyDescent="0.25">
      <c r="A30" s="92" t="s">
        <v>205</v>
      </c>
      <c r="B30" s="81"/>
    </row>
    <row r="31" spans="1:2" x14ac:dyDescent="0.25">
      <c r="A31" s="94" t="s">
        <v>172</v>
      </c>
      <c r="B31" s="6">
        <v>2500</v>
      </c>
    </row>
    <row r="32" spans="1:2" x14ac:dyDescent="0.25">
      <c r="A32" s="94" t="s">
        <v>172</v>
      </c>
      <c r="B32" s="6">
        <v>500</v>
      </c>
    </row>
    <row r="33" spans="1:2" x14ac:dyDescent="0.25">
      <c r="A33" s="94" t="s">
        <v>172</v>
      </c>
      <c r="B33" s="6">
        <v>2000</v>
      </c>
    </row>
    <row r="34" spans="1:2" x14ac:dyDescent="0.25">
      <c r="A34" s="94" t="s">
        <v>172</v>
      </c>
      <c r="B34" s="6">
        <v>500</v>
      </c>
    </row>
    <row r="35" spans="1:2" x14ac:dyDescent="0.25">
      <c r="A35" s="94" t="s">
        <v>172</v>
      </c>
      <c r="B35" s="6">
        <v>500</v>
      </c>
    </row>
    <row r="36" spans="1:2" x14ac:dyDescent="0.25">
      <c r="A36" s="94" t="s">
        <v>172</v>
      </c>
      <c r="B36" s="6">
        <v>500</v>
      </c>
    </row>
    <row r="37" spans="1:2" x14ac:dyDescent="0.25">
      <c r="A37" s="94" t="s">
        <v>172</v>
      </c>
      <c r="B37" s="6">
        <v>500</v>
      </c>
    </row>
    <row r="38" spans="1:2" x14ac:dyDescent="0.25">
      <c r="A38" s="94" t="s">
        <v>172</v>
      </c>
      <c r="B38" s="6">
        <v>500</v>
      </c>
    </row>
    <row r="39" spans="1:2" x14ac:dyDescent="0.25">
      <c r="A39" s="94" t="s">
        <v>172</v>
      </c>
      <c r="B39" s="6"/>
    </row>
    <row r="40" spans="1:2" x14ac:dyDescent="0.25">
      <c r="A40" s="94" t="s">
        <v>172</v>
      </c>
      <c r="B40" s="6"/>
    </row>
    <row r="41" spans="1:2" x14ac:dyDescent="0.25">
      <c r="A41" s="94" t="s">
        <v>172</v>
      </c>
      <c r="B41" s="6"/>
    </row>
    <row r="42" spans="1:2" x14ac:dyDescent="0.25">
      <c r="A42" s="94" t="s">
        <v>172</v>
      </c>
      <c r="B42" s="6"/>
    </row>
    <row r="43" spans="1:2" x14ac:dyDescent="0.25">
      <c r="A43" s="94" t="s">
        <v>172</v>
      </c>
      <c r="B43" s="6"/>
    </row>
    <row r="44" spans="1:2" x14ac:dyDescent="0.25">
      <c r="A44" s="107" t="s">
        <v>172</v>
      </c>
      <c r="B44" s="89"/>
    </row>
    <row r="45" spans="1:2" x14ac:dyDescent="0.25">
      <c r="A45" s="2" t="s">
        <v>173</v>
      </c>
      <c r="B45" s="11">
        <f>SUM(B30:B44)</f>
        <v>7500</v>
      </c>
    </row>
    <row r="47" spans="1:2" x14ac:dyDescent="0.25">
      <c r="A47" s="92" t="s">
        <v>174</v>
      </c>
      <c r="B47" s="81"/>
    </row>
    <row r="48" spans="1:2" x14ac:dyDescent="0.25">
      <c r="A48" s="94" t="s">
        <v>172</v>
      </c>
      <c r="B48" s="6">
        <v>1000</v>
      </c>
    </row>
    <row r="49" spans="1:2" x14ac:dyDescent="0.25">
      <c r="A49" s="94" t="s">
        <v>172</v>
      </c>
      <c r="B49" s="6"/>
    </row>
    <row r="50" spans="1:2" x14ac:dyDescent="0.25">
      <c r="A50" s="94" t="s">
        <v>172</v>
      </c>
      <c r="B50" s="6"/>
    </row>
    <row r="51" spans="1:2" x14ac:dyDescent="0.25">
      <c r="A51" s="94" t="s">
        <v>172</v>
      </c>
      <c r="B51" s="6"/>
    </row>
    <row r="52" spans="1:2" x14ac:dyDescent="0.25">
      <c r="A52" s="94" t="s">
        <v>172</v>
      </c>
      <c r="B52" s="6"/>
    </row>
    <row r="53" spans="1:2" x14ac:dyDescent="0.25">
      <c r="A53" s="94" t="s">
        <v>172</v>
      </c>
      <c r="B53" s="6"/>
    </row>
    <row r="54" spans="1:2" x14ac:dyDescent="0.25">
      <c r="A54" s="94" t="s">
        <v>172</v>
      </c>
      <c r="B54" s="6"/>
    </row>
    <row r="55" spans="1:2" x14ac:dyDescent="0.25">
      <c r="A55" s="94" t="s">
        <v>172</v>
      </c>
      <c r="B55" s="6"/>
    </row>
    <row r="56" spans="1:2" x14ac:dyDescent="0.25">
      <c r="A56" s="94" t="s">
        <v>172</v>
      </c>
      <c r="B56" s="6"/>
    </row>
    <row r="57" spans="1:2" x14ac:dyDescent="0.25">
      <c r="A57" s="107" t="s">
        <v>172</v>
      </c>
      <c r="B57" s="89"/>
    </row>
    <row r="58" spans="1:2" x14ac:dyDescent="0.25">
      <c r="A58" s="2" t="s">
        <v>173</v>
      </c>
      <c r="B58" s="11">
        <f>SUM(B47:B57)</f>
        <v>1000</v>
      </c>
    </row>
    <row r="60" spans="1:2" x14ac:dyDescent="0.25">
      <c r="A60" s="2" t="s">
        <v>175</v>
      </c>
      <c r="B60" s="11">
        <f>SUM(B18,B28,B45,B58)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Volume</vt:lpstr>
      <vt:lpstr>Revenue</vt:lpstr>
      <vt:lpstr>Expenses</vt:lpstr>
      <vt:lpstr>P&amp;L</vt:lpstr>
      <vt:lpstr>Metrics</vt:lpstr>
      <vt:lpstr>Staff</vt:lpstr>
      <vt:lpstr>Startup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Tannus Quatre</dc:creator>
  <cp:lastModifiedBy>Daniel Hesketh</cp:lastModifiedBy>
  <dcterms:created xsi:type="dcterms:W3CDTF">2010-01-06T20:51:37Z</dcterms:created>
  <dcterms:modified xsi:type="dcterms:W3CDTF">2020-05-20T15:04:26Z</dcterms:modified>
</cp:coreProperties>
</file>